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codeName="ThisWorkbook"/>
  <mc:AlternateContent xmlns:mc="http://schemas.openxmlformats.org/markup-compatibility/2006">
    <mc:Choice Requires="x15">
      <x15ac:absPath xmlns:x15ac="http://schemas.microsoft.com/office/spreadsheetml/2010/11/ac" url="F:\ABPS BACKUP\Projects\Mindspace Gigaplex MTR\Mindspace\Revised MTR Petition - 8 JUNE 2018\"/>
    </mc:Choice>
  </mc:AlternateContent>
  <xr:revisionPtr revIDLastSave="0" documentId="10_ncr:8100000_{531CC515-9A06-4A1D-BB0C-9867D15BDBAA}" xr6:coauthVersionLast="33" xr6:coauthVersionMax="33" xr10:uidLastSave="{00000000-0000-0000-0000-000000000000}"/>
  <bookViews>
    <workbookView xWindow="0" yWindow="0" windowWidth="19200" windowHeight="6945" tabRatio="952" firstSheet="2" activeTab="2" xr2:uid="{00000000-000D-0000-FFFF-FFFF00000000}"/>
  </bookViews>
  <sheets>
    <sheet name="Comparison" sheetId="146" state="hidden" r:id="rId1"/>
    <sheet name="Index" sheetId="57" state="hidden" r:id="rId2"/>
    <sheet name="ARR-Summary" sheetId="58" r:id="rId3"/>
    <sheet name="F1" sheetId="88" r:id="rId4"/>
    <sheet name="F1.1" sheetId="127" r:id="rId5"/>
    <sheet name="F1.2" sheetId="121" r:id="rId6"/>
    <sheet name="F1.3" sheetId="90" r:id="rId7"/>
    <sheet name="F1.4" sheetId="122" r:id="rId8"/>
    <sheet name="F1.5" sheetId="142" r:id="rId9"/>
    <sheet name="F2" sheetId="82" r:id="rId10"/>
    <sheet name="F2.1" sheetId="117" r:id="rId11"/>
    <sheet name="F2.2" sheetId="107" r:id="rId12"/>
    <sheet name="F3" sheetId="65" r:id="rId13"/>
    <sheet name="F3.1" sheetId="92" r:id="rId14"/>
    <sheet name="F3.2" sheetId="66" r:id="rId15"/>
    <sheet name="F3.3" sheetId="67" r:id="rId16"/>
    <sheet name="F3.4" sheetId="68" r:id="rId17"/>
    <sheet name="F3.5" sheetId="69" r:id="rId18"/>
    <sheet name="F4" sheetId="120" r:id="rId19"/>
    <sheet name="F4.1" sheetId="143" r:id="rId20"/>
    <sheet name="F4.2" sheetId="144" r:id="rId21"/>
    <sheet name="F4.3" sheetId="145" r:id="rId22"/>
    <sheet name="F5" sheetId="70" r:id="rId23"/>
    <sheet name="F5.1" sheetId="115" r:id="rId24"/>
    <sheet name="F5.2" sheetId="116" r:id="rId25"/>
    <sheet name="F6" sheetId="54" r:id="rId26"/>
    <sheet name="F7" sheetId="61" r:id="rId27"/>
    <sheet name="F8" sheetId="55" r:id="rId28"/>
    <sheet name="F9" sheetId="75" r:id="rId29"/>
    <sheet name="F10" sheetId="96" r:id="rId30"/>
    <sheet name="F11" sheetId="114" r:id="rId31"/>
    <sheet name="F12" sheetId="76" r:id="rId32"/>
    <sheet name="F13" sheetId="72" r:id="rId33"/>
    <sheet name="F13.1" sheetId="101" r:id="rId34"/>
    <sheet name="F13.2" sheetId="99" r:id="rId35"/>
    <sheet name="F13.3" sheetId="100" r:id="rId36"/>
    <sheet name="F14.1" sheetId="136" r:id="rId37"/>
    <sheet name="F14.2" sheetId="137" r:id="rId38"/>
    <sheet name="F15" sheetId="106" r:id="rId39"/>
    <sheet name="F16" sheetId="113" r:id="rId40"/>
    <sheet name="F17" sheetId="98" r:id="rId41"/>
    <sheet name="F18" sheetId="112" r:id="rId42"/>
    <sheet name="F19" sheetId="109" r:id="rId43"/>
    <sheet name="F20" sheetId="78" r:id="rId44"/>
    <sheet name="Graph" sheetId="140" state="hidden" r:id="rId45"/>
    <sheet name="9| ESC FACTOR" sheetId="135" state="hidden" r:id="rId46"/>
    <sheet name="ASSUM" sheetId="130" state="hidden" r:id="rId47"/>
    <sheet name="InSTS Loss" sheetId="134" state="hidden" r:id="rId48"/>
    <sheet name="Backup" sheetId="126" state="hidden" r:id="rId49"/>
    <sheet name="MYT cal" sheetId="131" state="hidden" r:id="rId50"/>
    <sheet name="Actual Loan" sheetId="133" state="hidden" r:id="rId51"/>
    <sheet name="F13 B" sheetId="129" state="hidden" r:id="rId52"/>
    <sheet name="Tariff Summary" sheetId="138" state="hidden" r:id="rId53"/>
    <sheet name="CSS" sheetId="139" r:id="rId54"/>
  </sheets>
  <externalReferences>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s>
  <definedNames>
    <definedName name="\0">#N/A</definedName>
    <definedName name="\a">#REF!</definedName>
    <definedName name="\b">#REF!</definedName>
    <definedName name="\c">#REF!</definedName>
    <definedName name="\d">#REF!</definedName>
    <definedName name="\e">#REF!</definedName>
    <definedName name="\f">#REF!</definedName>
    <definedName name="\FF">'[1]97 사업추정(WEKI)'!#REF!</definedName>
    <definedName name="\FG" localSheetId="8">[2]상반기손익차2총괄!#REF!</definedName>
    <definedName name="\FG">[2]상반기손익차2총괄!#REF!</definedName>
    <definedName name="\g">#REF!</definedName>
    <definedName name="\h">#REF!</definedName>
    <definedName name="\i">#REF!</definedName>
    <definedName name="\j">#REF!</definedName>
    <definedName name="\k">#REF!</definedName>
    <definedName name="\m">#REF!</definedName>
    <definedName name="\n">#REF!</definedName>
    <definedName name="\o" localSheetId="8">#REF!</definedName>
    <definedName name="\o">#REF!</definedName>
    <definedName name="\p">#REF!</definedName>
    <definedName name="\PP" localSheetId="8">[3]소화실적!#REF!</definedName>
    <definedName name="\PP">[3]소화실적!#REF!</definedName>
    <definedName name="\q">#N/A</definedName>
    <definedName name="\r">#N/A</definedName>
    <definedName name="\s">#REF!</definedName>
    <definedName name="\t">#REF!</definedName>
    <definedName name="\u">#N/A</definedName>
    <definedName name="\v">#N/A</definedName>
    <definedName name="\w">#REF!</definedName>
    <definedName name="\x">#REF!</definedName>
    <definedName name="\y">#N/A</definedName>
    <definedName name="\z">#REF!</definedName>
    <definedName name="_" localSheetId="8">#REF!</definedName>
    <definedName name="_">#REF!</definedName>
    <definedName name="_.._D__D__D__D_" localSheetId="8">#REF!</definedName>
    <definedName name="_.._D__D__D__D_">#REF!</definedName>
    <definedName name="___________________________________________PG2">#REF!</definedName>
    <definedName name="___________________________________________PG3">#REF!</definedName>
    <definedName name="__________________________________________PG2">#REF!</definedName>
    <definedName name="__________________________________________PG3">#REF!</definedName>
    <definedName name="_________________________________________PG2">#REF!</definedName>
    <definedName name="_________________________________________PG3">#REF!</definedName>
    <definedName name="________________________________________PG2">#REF!</definedName>
    <definedName name="________________________________________PG3">#REF!</definedName>
    <definedName name="_______________________________________PG1">'[4]Financial Estimates'!$A$7:$B$108</definedName>
    <definedName name="_______________________________________PG2">#REF!</definedName>
    <definedName name="_______________________________________PG3">#REF!</definedName>
    <definedName name="_______________________________________PG5">'[4]Financial Estimates'!$A$271:$D$342</definedName>
    <definedName name="______________________________________PG1">'[4]Financial Estimates'!$A$7:$B$108</definedName>
    <definedName name="______________________________________PG2">#REF!</definedName>
    <definedName name="______________________________________PG3">#REF!</definedName>
    <definedName name="______________________________________PG5">'[4]Financial Estimates'!$A$271:$D$342</definedName>
    <definedName name="______________________________________zz1">#REF!</definedName>
    <definedName name="_____________________________________PG1">'[4]Financial Estimates'!$A$7:$B$108</definedName>
    <definedName name="_____________________________________PG2">#REF!</definedName>
    <definedName name="_____________________________________PG3">#REF!</definedName>
    <definedName name="_____________________________________PG5">'[4]Financial Estimates'!$A$271:$D$342</definedName>
    <definedName name="_____________________________________zz1">#REF!</definedName>
    <definedName name="____________________________________PG1">'[4]Financial Estimates'!$A$7:$B$108</definedName>
    <definedName name="____________________________________PG2">#REF!</definedName>
    <definedName name="____________________________________PG3">#REF!</definedName>
    <definedName name="____________________________________PG5">'[4]Financial Estimates'!$A$271:$D$342</definedName>
    <definedName name="____________________________________za1">#REF!</definedName>
    <definedName name="____________________________________zz1">#REF!</definedName>
    <definedName name="___________________________________PG1">'[4]Financial Estimates'!$A$7:$B$108</definedName>
    <definedName name="___________________________________PG2">#REF!</definedName>
    <definedName name="___________________________________PG3">#REF!</definedName>
    <definedName name="___________________________________PG5">'[4]Financial Estimates'!$A$271:$D$342</definedName>
    <definedName name="___________________________________pg6">'[5]Financial Estimates'!$A$271:$D$342</definedName>
    <definedName name="___________________________________pg7">'[5]Financial Estimates'!#REF!</definedName>
    <definedName name="___________________________________za1">#REF!</definedName>
    <definedName name="___________________________________zz1">#REF!</definedName>
    <definedName name="__________________________________PG1">'[4]Financial Estimates'!$A$7:$B$108</definedName>
    <definedName name="__________________________________PG2">#REF!</definedName>
    <definedName name="__________________________________PG3">#REF!</definedName>
    <definedName name="__________________________________PG5">'[4]Financial Estimates'!$A$271:$D$342</definedName>
    <definedName name="__________________________________pg6">'[5]Financial Estimates'!$A$271:$D$342</definedName>
    <definedName name="__________________________________pg7">'[5]Financial Estimates'!#REF!</definedName>
    <definedName name="__________________________________za1">#REF!</definedName>
    <definedName name="__________________________________zz1">#REF!</definedName>
    <definedName name="_________________________________PG1">'[4]Financial Estimates'!$A$7:$B$108</definedName>
    <definedName name="_________________________________PG2">#REF!</definedName>
    <definedName name="_________________________________PG3">#REF!</definedName>
    <definedName name="_________________________________PG5">'[4]Financial Estimates'!$A$271:$D$342</definedName>
    <definedName name="_________________________________pg6">'[5]Financial Estimates'!$A$271:$D$342</definedName>
    <definedName name="_________________________________pg7">'[5]Financial Estimates'!#REF!</definedName>
    <definedName name="_________________________________za1">#REF!</definedName>
    <definedName name="_________________________________zz1">#REF!</definedName>
    <definedName name="________________________________pg7">'[5]Financial Estimates'!#REF!</definedName>
    <definedName name="________________________________za1">'[6]MIS - License Area'!#REF!</definedName>
    <definedName name="________________________________zz1">'[6]MIS - License Area'!#REF!</definedName>
    <definedName name="_______________________________pg7">'[5]Financial Estimates'!#REF!</definedName>
    <definedName name="_______________________________za1">#REF!</definedName>
    <definedName name="_______________________________zz1">#REF!</definedName>
    <definedName name="______________________________PG1">'[4]Financial Estimates'!$A$7:$B$108</definedName>
    <definedName name="______________________________pg7">'[5]Financial Estimates'!#REF!</definedName>
    <definedName name="______________________________za1">#REF!</definedName>
    <definedName name="______________________________zz1">#REF!</definedName>
    <definedName name="_____________________________PG1">'[4]Financial Estimates'!$A$7:$B$108</definedName>
    <definedName name="______________________DAT2">#REF!</definedName>
    <definedName name="______________________DAT3">#REF!</definedName>
    <definedName name="______________________DAT4">#REF!</definedName>
    <definedName name="_____________________DAT15">'[7]ins spares'!#REF!</definedName>
    <definedName name="_____________________DAT2">#REF!</definedName>
    <definedName name="_____________________DAT3">#REF!</definedName>
    <definedName name="_____________________DAT4">#REF!</definedName>
    <definedName name="_____________________DAT5">#REF!</definedName>
    <definedName name="_____________________DAT6">#REF!</definedName>
    <definedName name="_____________________DAT7">#REF!</definedName>
    <definedName name="_____________________DAT8">#REF!</definedName>
    <definedName name="_____________________DAT9">#REF!</definedName>
    <definedName name="____________________DAT15" localSheetId="8">'[7]ins spares'!#REF!</definedName>
    <definedName name="____________________DAT15">'[7]ins spares'!#REF!</definedName>
    <definedName name="____________________DAT2">#REF!</definedName>
    <definedName name="____________________DAT3">#REF!</definedName>
    <definedName name="____________________DAT4">#REF!</definedName>
    <definedName name="____________________DAT5">#REF!</definedName>
    <definedName name="____________________DAT6">#REF!</definedName>
    <definedName name="____________________DAT7">#REF!</definedName>
    <definedName name="____________________DAT8">#REF!</definedName>
    <definedName name="____________________DAT9">#REF!</definedName>
    <definedName name="____________________PG1">'[8]Financial Estimates'!$A$7:$B$108</definedName>
    <definedName name="___________________DAT15">'[7]ins spares'!#REF!</definedName>
    <definedName name="___________________DAT2">#REF!</definedName>
    <definedName name="___________________DAT3">#REF!</definedName>
    <definedName name="___________________DAT4">#REF!</definedName>
    <definedName name="___________________DAT5">#REF!</definedName>
    <definedName name="___________________DAT6">#REF!</definedName>
    <definedName name="___________________DAT7">#REF!</definedName>
    <definedName name="___________________DAT8">#REF!</definedName>
    <definedName name="___________________DAT9">#REF!</definedName>
    <definedName name="__________________DAT15" localSheetId="8">'[7]ins spares'!#REF!</definedName>
    <definedName name="__________________DAT15">'[7]ins spares'!#REF!</definedName>
    <definedName name="__________________DAT2">#REF!</definedName>
    <definedName name="__________________DAT3">#REF!</definedName>
    <definedName name="__________________DAT4">#REF!</definedName>
    <definedName name="__________________DAT5">#REF!</definedName>
    <definedName name="__________________DAT6">#REF!</definedName>
    <definedName name="__________________DAT7">#REF!</definedName>
    <definedName name="__________________DAT8">#REF!</definedName>
    <definedName name="__________________DAT9">#REF!</definedName>
    <definedName name="__________________PG1">'[4]Financial Estimates'!$A$7:$B$108</definedName>
    <definedName name="_________________DAT1">#REF!</definedName>
    <definedName name="_________________DAT13">'[7]ins spares'!#REF!</definedName>
    <definedName name="_________________DAT15">'[7]ins spares'!#REF!</definedName>
    <definedName name="_________________DAT16" localSheetId="8">'[7]ins spares'!#REF!</definedName>
    <definedName name="_________________DAT16">'[7]ins spares'!#REF!</definedName>
    <definedName name="_________________DAT18" localSheetId="8">'[7]ins spares'!#REF!</definedName>
    <definedName name="_________________DAT18">'[7]ins spares'!#REF!</definedName>
    <definedName name="_________________DAT19" localSheetId="8">'[7]ins spares'!#REF!</definedName>
    <definedName name="_________________DAT19">'[7]ins spares'!#REF!</definedName>
    <definedName name="_________________DAT2">#REF!</definedName>
    <definedName name="_________________DAT20">'[7]ins spares'!#REF!</definedName>
    <definedName name="_________________DAT21" localSheetId="8">'[7]ins spares'!#REF!</definedName>
    <definedName name="_________________DAT21">'[7]ins spares'!#REF!</definedName>
    <definedName name="_________________DAT22">'[7]ins spares'!#REF!</definedName>
    <definedName name="_________________DAT23">'[7]ins spares'!#REF!</definedName>
    <definedName name="_________________DAT24">'[7]ins spares'!#REF!</definedName>
    <definedName name="_________________DAT3">#REF!</definedName>
    <definedName name="_________________DAT4">#REF!</definedName>
    <definedName name="_________________DAT5">#REF!</definedName>
    <definedName name="_________________DAT6">#REF!</definedName>
    <definedName name="_________________DAT7">#REF!</definedName>
    <definedName name="_________________DAT8">#REF!</definedName>
    <definedName name="_________________DAT9">#REF!</definedName>
    <definedName name="_________________G87634">#REF!</definedName>
    <definedName name="________________DAT12">'[7]ins spares'!#REF!</definedName>
    <definedName name="________________DAT13">'[7]ins spares'!#REF!</definedName>
    <definedName name="________________DAT15">'[7]ins spares'!#REF!</definedName>
    <definedName name="________________DAT16">'[7]ins spares'!#REF!</definedName>
    <definedName name="________________DAT18">'[7]ins spares'!#REF!</definedName>
    <definedName name="________________DAT19">'[7]ins spares'!#REF!</definedName>
    <definedName name="________________DAT7">#REF!</definedName>
    <definedName name="________________G87634">#REF!</definedName>
    <definedName name="________________PG1">'[4]Financial Estimates'!$A$7:$B$108</definedName>
    <definedName name="_______________DAT10">#REF!</definedName>
    <definedName name="_______________DAT11">#REF!</definedName>
    <definedName name="_______________DAT5">#REF!</definedName>
    <definedName name="_______________DAT6">#REF!</definedName>
    <definedName name="_______________DAT8">#REF!</definedName>
    <definedName name="_______________DAT9">#REF!</definedName>
    <definedName name="_____________pg6">'[5]Financial Estimates'!$A$271:$D$342</definedName>
    <definedName name="____________DAT16" localSheetId="8">'[7]ins spares'!#REF!</definedName>
    <definedName name="____________DAT16">'[7]ins spares'!#REF!</definedName>
    <definedName name="____________DAT18" localSheetId="8">'[7]ins spares'!#REF!</definedName>
    <definedName name="____________DAT18">'[7]ins spares'!#REF!</definedName>
    <definedName name="____________DAT19" localSheetId="8">'[7]ins spares'!#REF!</definedName>
    <definedName name="____________DAT19">'[7]ins spares'!#REF!</definedName>
    <definedName name="____________DAT20" localSheetId="8">'[7]ins spares'!#REF!</definedName>
    <definedName name="____________DAT20">'[7]ins spares'!#REF!</definedName>
    <definedName name="____________DAT21" localSheetId="8">'[7]ins spares'!#REF!</definedName>
    <definedName name="____________DAT21">'[7]ins spares'!#REF!</definedName>
    <definedName name="____________DAT22">'[7]ins spares'!#REF!</definedName>
    <definedName name="____________DAT23">'[7]ins spares'!#REF!</definedName>
    <definedName name="____________DAT24">'[7]ins spares'!#REF!</definedName>
    <definedName name="____________PG5">'[4]Financial Estimates'!$A$271:$D$342</definedName>
    <definedName name="____________pg6">'[5]Financial Estimates'!$A$271:$D$342</definedName>
    <definedName name="___________D87840">#REF!</definedName>
    <definedName name="___________G87634">#REF!</definedName>
    <definedName name="___________PG1">'[4]Financial Estimates'!$A$7:$B$108</definedName>
    <definedName name="___________PG5">'[4]Financial Estimates'!$A$271:$D$342</definedName>
    <definedName name="___________pg6">'[5]Financial Estimates'!$A$271:$D$342</definedName>
    <definedName name="__________PG1">'[4]Financial Estimates'!$A$7:$B$108</definedName>
    <definedName name="__________PG2" localSheetId="8">#REF!</definedName>
    <definedName name="__________PG2">#REF!</definedName>
    <definedName name="__________PG3" localSheetId="8">#REF!</definedName>
    <definedName name="__________PG3">#REF!</definedName>
    <definedName name="__________PG5">'[4]Financial Estimates'!$A$271:$D$342</definedName>
    <definedName name="__________pg6">'[5]Financial Estimates'!$A$271:$D$342</definedName>
    <definedName name="_________DAT1" localSheetId="8">#REF!</definedName>
    <definedName name="_________DAT1">#REF!</definedName>
    <definedName name="_________DAT10" localSheetId="8">#REF!</definedName>
    <definedName name="_________DAT10">#REF!</definedName>
    <definedName name="_________DAT11" localSheetId="8">#REF!</definedName>
    <definedName name="_________DAT11">#REF!</definedName>
    <definedName name="_________DAT12" localSheetId="8">'[7]ins spares'!#REF!</definedName>
    <definedName name="_________DAT12">'[7]ins spares'!#REF!</definedName>
    <definedName name="_________DAT13" localSheetId="8">'[7]ins spares'!#REF!</definedName>
    <definedName name="_________DAT13">'[7]ins spares'!#REF!</definedName>
    <definedName name="_________DAT15" localSheetId="8">'[7]ins spares'!#REF!</definedName>
    <definedName name="_________DAT15">'[7]ins spares'!#REF!</definedName>
    <definedName name="_________DAT16" localSheetId="8">'[7]ins spares'!#REF!</definedName>
    <definedName name="_________DAT16">'[7]ins spares'!#REF!</definedName>
    <definedName name="_________DAT18">'[7]ins spares'!#REF!</definedName>
    <definedName name="_________DAT19">'[7]ins spares'!#REF!</definedName>
    <definedName name="_________DAT2" localSheetId="8">#REF!</definedName>
    <definedName name="_________DAT2">#REF!</definedName>
    <definedName name="_________DAT20">'[7]ins spares'!#REF!</definedName>
    <definedName name="_________DAT21">'[7]ins spares'!#REF!</definedName>
    <definedName name="_________DAT22">'[7]ins spares'!#REF!</definedName>
    <definedName name="_________DAT23">'[7]ins spares'!#REF!</definedName>
    <definedName name="_________DAT24">'[7]ins spares'!#REF!</definedName>
    <definedName name="_________DAT3" localSheetId="8">#REF!</definedName>
    <definedName name="_________DAT3">#REF!</definedName>
    <definedName name="_________DAT4" localSheetId="8">#REF!</definedName>
    <definedName name="_________DAT4">#REF!</definedName>
    <definedName name="_________DAT5" localSheetId="8">#REF!</definedName>
    <definedName name="_________DAT5">#REF!</definedName>
    <definedName name="_________DAT6" localSheetId="8">#REF!</definedName>
    <definedName name="_________DAT6">#REF!</definedName>
    <definedName name="_________DAT7" localSheetId="8">#REF!</definedName>
    <definedName name="_________DAT7">#REF!</definedName>
    <definedName name="_________DAT8" localSheetId="8">#REF!</definedName>
    <definedName name="_________DAT8">#REF!</definedName>
    <definedName name="_________DAT9" localSheetId="8">#REF!</definedName>
    <definedName name="_________DAT9">#REF!</definedName>
    <definedName name="_________PG1">'[4]Financial Estimates'!$A$7:$B$108</definedName>
    <definedName name="_________PG2" localSheetId="8">#REF!</definedName>
    <definedName name="_________PG2">#REF!</definedName>
    <definedName name="_________PG3" localSheetId="8">#REF!</definedName>
    <definedName name="_________PG3">#REF!</definedName>
    <definedName name="_________PG5">'[4]Financial Estimates'!$A$271:$D$342</definedName>
    <definedName name="_________pg6">'[5]Financial Estimates'!$A$271:$D$342</definedName>
    <definedName name="_________pg7" localSheetId="8">'[5]Financial Estimates'!#REF!</definedName>
    <definedName name="_________pg7">'[5]Financial Estimates'!#REF!</definedName>
    <definedName name="_________XL__ENTER_UNIT" localSheetId="8">#REF!</definedName>
    <definedName name="_________XL__ENTER_UNIT">#REF!</definedName>
    <definedName name="_________za1" localSheetId="8">#REF!</definedName>
    <definedName name="_________za1">#REF!</definedName>
    <definedName name="_________zz1" localSheetId="8">#REF!</definedName>
    <definedName name="_________zz1">#REF!</definedName>
    <definedName name="________D87840" localSheetId="8">#REF!</definedName>
    <definedName name="________D87840">#REF!</definedName>
    <definedName name="________DAT1" localSheetId="8">#REF!</definedName>
    <definedName name="________DAT1">#REF!</definedName>
    <definedName name="________DAT10" localSheetId="8">#REF!</definedName>
    <definedName name="________DAT10">#REF!</definedName>
    <definedName name="________DAT11" localSheetId="8">#REF!</definedName>
    <definedName name="________DAT11">#REF!</definedName>
    <definedName name="________DAT12" localSheetId="8">'[7]ins spares'!#REF!</definedName>
    <definedName name="________DAT12">'[7]ins spares'!#REF!</definedName>
    <definedName name="________DAT13" localSheetId="8">'[7]ins spares'!#REF!</definedName>
    <definedName name="________DAT13">'[7]ins spares'!#REF!</definedName>
    <definedName name="________DAT15" localSheetId="8">'[7]ins spares'!#REF!</definedName>
    <definedName name="________DAT15">'[7]ins spares'!#REF!</definedName>
    <definedName name="________DAT16" localSheetId="8">'[7]ins spares'!#REF!</definedName>
    <definedName name="________DAT16">'[7]ins spares'!#REF!</definedName>
    <definedName name="________DAT18">'[7]ins spares'!#REF!</definedName>
    <definedName name="________DAT19">'[7]ins spares'!#REF!</definedName>
    <definedName name="________DAT2" localSheetId="8">#REF!</definedName>
    <definedName name="________DAT2">#REF!</definedName>
    <definedName name="________DAT20">'[7]ins spares'!#REF!</definedName>
    <definedName name="________DAT21">'[7]ins spares'!#REF!</definedName>
    <definedName name="________DAT22">'[7]ins spares'!#REF!</definedName>
    <definedName name="________DAT23">'[7]ins spares'!#REF!</definedName>
    <definedName name="________DAT24">'[7]ins spares'!#REF!</definedName>
    <definedName name="________DAT3" localSheetId="8">#REF!</definedName>
    <definedName name="________DAT3">#REF!</definedName>
    <definedName name="________DAT4" localSheetId="8">#REF!</definedName>
    <definedName name="________DAT4">#REF!</definedName>
    <definedName name="________DAT5" localSheetId="8">#REF!</definedName>
    <definedName name="________DAT5">#REF!</definedName>
    <definedName name="________DAT6" localSheetId="8">#REF!</definedName>
    <definedName name="________DAT6">#REF!</definedName>
    <definedName name="________DAT7" localSheetId="8">#REF!</definedName>
    <definedName name="________DAT7">#REF!</definedName>
    <definedName name="________DAT8" localSheetId="8">#REF!</definedName>
    <definedName name="________DAT8">#REF!</definedName>
    <definedName name="________DAT9" localSheetId="8">#REF!</definedName>
    <definedName name="________DAT9">#REF!</definedName>
    <definedName name="________G87634" localSheetId="8">#REF!</definedName>
    <definedName name="________G87634">#REF!</definedName>
    <definedName name="________PG1">'[4]Financial Estimates'!$A$7:$B$108</definedName>
    <definedName name="________PG2" localSheetId="8">#REF!</definedName>
    <definedName name="________PG2">#REF!</definedName>
    <definedName name="________PG3" localSheetId="8">#REF!</definedName>
    <definedName name="________PG3">#REF!</definedName>
    <definedName name="________PG5">'[4]Financial Estimates'!$A$271:$D$342</definedName>
    <definedName name="________pg6">'[5]Financial Estimates'!$A$271:$D$342</definedName>
    <definedName name="________pg7" localSheetId="8">'[5]Financial Estimates'!#REF!</definedName>
    <definedName name="________pg7">'[5]Financial Estimates'!#REF!</definedName>
    <definedName name="________za1" localSheetId="8">#REF!</definedName>
    <definedName name="________za1">#REF!</definedName>
    <definedName name="________zz1" localSheetId="8">#REF!</definedName>
    <definedName name="________zz1">#REF!</definedName>
    <definedName name="_______D87840" localSheetId="8">#REF!</definedName>
    <definedName name="_______D87840">#REF!</definedName>
    <definedName name="_______DAT1" localSheetId="8">#REF!</definedName>
    <definedName name="_______DAT1">#REF!</definedName>
    <definedName name="_______DAT10" localSheetId="8">#REF!</definedName>
    <definedName name="_______DAT10">#REF!</definedName>
    <definedName name="_______DAT11" localSheetId="8">#REF!</definedName>
    <definedName name="_______DAT11">#REF!</definedName>
    <definedName name="_______DAT12" localSheetId="8">'[7]ins spares'!#REF!</definedName>
    <definedName name="_______DAT12">'[7]ins spares'!#REF!</definedName>
    <definedName name="_______DAT13" localSheetId="8">'[7]ins spares'!#REF!</definedName>
    <definedName name="_______DAT13">'[7]ins spares'!#REF!</definedName>
    <definedName name="_______DAT15" localSheetId="8">'[7]ins spares'!#REF!</definedName>
    <definedName name="_______DAT15">'[7]ins spares'!#REF!</definedName>
    <definedName name="_______DAT16" localSheetId="8">'[7]ins spares'!#REF!</definedName>
    <definedName name="_______DAT16">'[7]ins spares'!#REF!</definedName>
    <definedName name="_______DAT18">'[7]ins spares'!#REF!</definedName>
    <definedName name="_______DAT19">'[7]ins spares'!#REF!</definedName>
    <definedName name="_______DAT2" localSheetId="8">#REF!</definedName>
    <definedName name="_______DAT2">#REF!</definedName>
    <definedName name="_______DAT20">'[7]ins spares'!#REF!</definedName>
    <definedName name="_______DAT21">'[7]ins spares'!#REF!</definedName>
    <definedName name="_______DAT22">'[7]ins spares'!#REF!</definedName>
    <definedName name="_______DAT23">'[7]ins spares'!#REF!</definedName>
    <definedName name="_______DAT24">'[7]ins spares'!#REF!</definedName>
    <definedName name="_______DAT3" localSheetId="8">#REF!</definedName>
    <definedName name="_______DAT3">#REF!</definedName>
    <definedName name="_______DAT4" localSheetId="8">#REF!</definedName>
    <definedName name="_______DAT4">#REF!</definedName>
    <definedName name="_______DAT5" localSheetId="8">#REF!</definedName>
    <definedName name="_______DAT5">#REF!</definedName>
    <definedName name="_______DAT6" localSheetId="8">#REF!</definedName>
    <definedName name="_______DAT6">#REF!</definedName>
    <definedName name="_______DAT7" localSheetId="8">#REF!</definedName>
    <definedName name="_______DAT7">#REF!</definedName>
    <definedName name="_______DAT8" localSheetId="8">#REF!</definedName>
    <definedName name="_______DAT8">#REF!</definedName>
    <definedName name="_______DAT9" localSheetId="8">#REF!</definedName>
    <definedName name="_______DAT9">#REF!</definedName>
    <definedName name="_______G87634" localSheetId="8">#REF!</definedName>
    <definedName name="_______G87634">#REF!</definedName>
    <definedName name="_______PG1">'[4]Financial Estimates'!$A$7:$B$108</definedName>
    <definedName name="_______PG2">#REF!</definedName>
    <definedName name="_______PG3">#REF!</definedName>
    <definedName name="_______PG5">'[4]Financial Estimates'!$A$271:$D$342</definedName>
    <definedName name="_______pg6">'[5]Financial Estimates'!$A$271:$D$342</definedName>
    <definedName name="_______pg7" localSheetId="8">'[5]Financial Estimates'!#REF!</definedName>
    <definedName name="_______pg7">'[5]Financial Estimates'!#REF!</definedName>
    <definedName name="_______SCH6" localSheetId="8">'[9]04REL'!#REF!</definedName>
    <definedName name="_______SCH6">'[9]04REL'!#REF!</definedName>
    <definedName name="_______XL__ENTER_UNIT" localSheetId="8">#REF!</definedName>
    <definedName name="_______XL__ENTER_UNIT">#REF!</definedName>
    <definedName name="_______za1" localSheetId="8">#REF!</definedName>
    <definedName name="_______za1">#REF!</definedName>
    <definedName name="_______zz1" localSheetId="8">#REF!</definedName>
    <definedName name="_______zz1">#REF!</definedName>
    <definedName name="______as3">[10]BEST_17112006!$C$20</definedName>
    <definedName name="______D87840" localSheetId="8">#REF!</definedName>
    <definedName name="______D87840">#REF!</definedName>
    <definedName name="______DAT1">#REF!</definedName>
    <definedName name="______DAT10">#REF!</definedName>
    <definedName name="______DAT11">#REF!</definedName>
    <definedName name="______DAT12" localSheetId="8">'[7]ins spares'!#REF!</definedName>
    <definedName name="______DAT12">'[7]ins spares'!#REF!</definedName>
    <definedName name="______DAT13">'[7]ins spares'!#REF!</definedName>
    <definedName name="______DAT15" localSheetId="8">'[7]ins spares'!#REF!</definedName>
    <definedName name="______DAT15">'[7]ins spares'!#REF!</definedName>
    <definedName name="______DAT16">'[7]ins spares'!#REF!</definedName>
    <definedName name="______DAT18">'[7]ins spares'!#REF!</definedName>
    <definedName name="______DAT19">'[7]ins spares'!#REF!</definedName>
    <definedName name="______DAT2">#REF!</definedName>
    <definedName name="______DAT20">'[7]ins spares'!#REF!</definedName>
    <definedName name="______DAT21">'[7]ins spares'!#REF!</definedName>
    <definedName name="______DAT22">'[7]ins spares'!#REF!</definedName>
    <definedName name="______DAT23">'[7]ins spares'!#REF!</definedName>
    <definedName name="______DAT24">'[7]ins spares'!#REF!</definedName>
    <definedName name="______DAT3">#REF!</definedName>
    <definedName name="______DAT4">#REF!</definedName>
    <definedName name="______DAT5">#REF!</definedName>
    <definedName name="______DAT6">#REF!</definedName>
    <definedName name="______DAT7">#REF!</definedName>
    <definedName name="______DAT8">#REF!</definedName>
    <definedName name="______DAT9">#REF!</definedName>
    <definedName name="______G87634" localSheetId="8">#REF!</definedName>
    <definedName name="______G87634">#REF!</definedName>
    <definedName name="______PG1">'[4]Financial Estimates'!$A$7:$B$108</definedName>
    <definedName name="______PG2">#REF!</definedName>
    <definedName name="______PG3">#REF!</definedName>
    <definedName name="______PG5">'[4]Financial Estimates'!$A$271:$D$342</definedName>
    <definedName name="______pg6">'[5]Financial Estimates'!$A$271:$D$342</definedName>
    <definedName name="______pg7">'[5]Financial Estimates'!#REF!</definedName>
    <definedName name="______SCH6" localSheetId="8">'[9]04REL'!#REF!</definedName>
    <definedName name="______SCH6">'[9]04REL'!#REF!</definedName>
    <definedName name="______XL__ENTER_UNIT" localSheetId="8">#REF!</definedName>
    <definedName name="______XL__ENTER_UNIT">#REF!</definedName>
    <definedName name="______za1">#REF!</definedName>
    <definedName name="______zz1">#REF!</definedName>
    <definedName name="_____as3">[10]BEST_17112006!$C$20</definedName>
    <definedName name="_____D87840">#REF!</definedName>
    <definedName name="_____DAT1">#REF!</definedName>
    <definedName name="_____DAT10">#REF!</definedName>
    <definedName name="_____DAT11">#REF!</definedName>
    <definedName name="_____DAT12" localSheetId="8">'[7]ins spares'!#REF!</definedName>
    <definedName name="_____DAT12">'[7]ins spares'!#REF!</definedName>
    <definedName name="_____DAT13" localSheetId="8">'[7]ins spares'!#REF!</definedName>
    <definedName name="_____DAT13">'[7]ins spares'!#REF!</definedName>
    <definedName name="_____DAT15" localSheetId="8">'[7]ins spares'!#REF!</definedName>
    <definedName name="_____DAT15">'[7]ins spares'!#REF!</definedName>
    <definedName name="_____DAT16" localSheetId="8">'[7]ins spares'!#REF!</definedName>
    <definedName name="_____DAT16">'[7]ins spares'!#REF!</definedName>
    <definedName name="_____DAT18">'[7]ins spares'!#REF!</definedName>
    <definedName name="_____DAT19">'[7]ins spares'!#REF!</definedName>
    <definedName name="_____DAT2">#REF!</definedName>
    <definedName name="_____DAT20">'[7]ins spares'!#REF!</definedName>
    <definedName name="_____DAT21">'[7]ins spares'!#REF!</definedName>
    <definedName name="_____DAT22">'[7]ins spares'!#REF!</definedName>
    <definedName name="_____DAT23">'[7]ins spares'!#REF!</definedName>
    <definedName name="_____DAT24">'[7]ins spares'!#REF!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_G87634">#REF!</definedName>
    <definedName name="_____PG1">'[4]Financial Estimates'!$A$7:$B$108</definedName>
    <definedName name="_____PG2">#REF!</definedName>
    <definedName name="_____PG3">#REF!</definedName>
    <definedName name="_____PG5">'[4]Financial Estimates'!$A$271:$D$342</definedName>
    <definedName name="_____pg6">'[5]Financial Estimates'!$A$271:$D$342</definedName>
    <definedName name="_____pg7">'[5]Financial Estimates'!#REF!</definedName>
    <definedName name="_____SCH6" localSheetId="8">'[9]04REL'!#REF!</definedName>
    <definedName name="_____SCH6">'[9]04REL'!#REF!</definedName>
    <definedName name="_____za1">#REF!</definedName>
    <definedName name="_____zz1">#REF!</definedName>
    <definedName name="____as3">[10]BEST_17112006!$C$20</definedName>
    <definedName name="____D87840">#REF!</definedName>
    <definedName name="____DAT1">#REF!</definedName>
    <definedName name="____DAT10">#REF!</definedName>
    <definedName name="____DAT11">#REF!</definedName>
    <definedName name="____DAT12" localSheetId="8">'[7]ins spares'!#REF!</definedName>
    <definedName name="____DAT12">'[7]ins spares'!#REF!</definedName>
    <definedName name="____DAT13" localSheetId="8">'[7]ins spares'!#REF!</definedName>
    <definedName name="____DAT13">'[7]ins spares'!#REF!</definedName>
    <definedName name="____DAT15" localSheetId="8">'[7]ins spares'!#REF!</definedName>
    <definedName name="____DAT15">'[7]ins spares'!#REF!</definedName>
    <definedName name="____DAT16" localSheetId="8">'[7]ins spares'!#REF!</definedName>
    <definedName name="____DAT16">'[7]ins spares'!#REF!</definedName>
    <definedName name="____DAT18">'[7]ins spares'!#REF!</definedName>
    <definedName name="____DAT19">'[7]ins spares'!#REF!</definedName>
    <definedName name="____DAT2">#REF!</definedName>
    <definedName name="____DAT20">'[7]ins spares'!#REF!</definedName>
    <definedName name="____DAT21">'[7]ins spares'!#REF!</definedName>
    <definedName name="____DAT22">'[7]ins spares'!#REF!</definedName>
    <definedName name="____DAT23">'[7]ins spares'!#REF!</definedName>
    <definedName name="____DAT24">'[7]ins spares'!#REF!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_ELL45">#REF!</definedName>
    <definedName name="____ELL90">#REF!</definedName>
    <definedName name="____EMP4">#N/A</definedName>
    <definedName name="____FFr98">'[11]#REF'!$F$29</definedName>
    <definedName name="____FFr99">'[11]#REF'!$G$29</definedName>
    <definedName name="____FRF2">#REF!</definedName>
    <definedName name="____G87634">#REF!</definedName>
    <definedName name="____K5">#REF!</definedName>
    <definedName name="____K6">#REF!</definedName>
    <definedName name="____KD10">[12]현장지지물물량!$A$8:$N$196</definedName>
    <definedName name="____KD11">[12]현장지지물물량!$A$1:$IV$7</definedName>
    <definedName name="____KD12">[12]현장지지물물량!$A$8:$N$196</definedName>
    <definedName name="____KD13">[12]현장지지물물량!$A$1:$IV$7</definedName>
    <definedName name="____KD14">[13]현장지지물물량!$A$9:$N$23</definedName>
    <definedName name="____KD15">[14]현장지지물물량!$A$9:$N$23</definedName>
    <definedName name="____KD16">[14]현장지지물물량!$A$1:$IV$8</definedName>
    <definedName name="____KD18">[14]현장지지물물량!$A$9:$N$23</definedName>
    <definedName name="____KD2" localSheetId="45" hidden="1">#REF!</definedName>
    <definedName name="____KD2" localSheetId="46" hidden="1">#REF!</definedName>
    <definedName name="____KD2" localSheetId="53" hidden="1">#REF!</definedName>
    <definedName name="____KD2" localSheetId="8" hidden="1">#REF!</definedName>
    <definedName name="____KD2" localSheetId="51" hidden="1">#REF!</definedName>
    <definedName name="____KD2" localSheetId="36" hidden="1">#REF!</definedName>
    <definedName name="____KD2" localSheetId="37" hidden="1">#REF!</definedName>
    <definedName name="____KD2" hidden="1">#REF!</definedName>
    <definedName name="____KD3" localSheetId="53" hidden="1">#REF!</definedName>
    <definedName name="____KD3" localSheetId="8" hidden="1">#REF!</definedName>
    <definedName name="____KD3" localSheetId="51" hidden="1">#REF!</definedName>
    <definedName name="____KD3" localSheetId="36" hidden="1">#REF!</definedName>
    <definedName name="____KD3" localSheetId="37" hidden="1">#REF!</definedName>
    <definedName name="____KD3" hidden="1">#REF!</definedName>
    <definedName name="____KD4">[12]현장지지물물량!$A$8:$N$196</definedName>
    <definedName name="____KD5">[14]현장지지물물량!$A$1:$IV$8</definedName>
    <definedName name="____KD6">[14]현장지지물물량!$A$1:$IV$8</definedName>
    <definedName name="____KD7">[14]현장지지물물량!$A$9:$N$23</definedName>
    <definedName name="____KD8">'[15]설산1.나'!$A$8:$J$53</definedName>
    <definedName name="____KD9">[15]본사S!$B$10:$P$103</definedName>
    <definedName name="____LL3">#REF!</definedName>
    <definedName name="____LL4">#REF!</definedName>
    <definedName name="____LL5">#REF!</definedName>
    <definedName name="____nh1" localSheetId="8">'[16]Fixed Charge'!#REF!</definedName>
    <definedName name="____nh1">'[16]Fixed Charge'!#REF!</definedName>
    <definedName name="____p2">#REF!</definedName>
    <definedName name="____P21">#REF!</definedName>
    <definedName name="____P22">#REF!</definedName>
    <definedName name="____p3">#REF!</definedName>
    <definedName name="____P31">#REF!</definedName>
    <definedName name="____P32">#REF!</definedName>
    <definedName name="____P33">#REF!</definedName>
    <definedName name="____P34">#REF!</definedName>
    <definedName name="____PG1">'[4]Financial Estimates'!$A$7:$B$108</definedName>
    <definedName name="____PG2">#REF!</definedName>
    <definedName name="____PG3">#REF!</definedName>
    <definedName name="____PG5">'[4]Financial Estimates'!$A$271:$D$342</definedName>
    <definedName name="____pg6">'[5]Financial Estimates'!$A$271:$D$342</definedName>
    <definedName name="____pg7">'[5]Financial Estimates'!#REF!</definedName>
    <definedName name="____RE100">#REF!</definedName>
    <definedName name="____RE104">#REF!</definedName>
    <definedName name="____RE112">#REF!</definedName>
    <definedName name="____RE26">#REF!</definedName>
    <definedName name="____RE28">#REF!</definedName>
    <definedName name="____RE30">#REF!</definedName>
    <definedName name="____RE32">#REF!</definedName>
    <definedName name="____RE34">#REF!</definedName>
    <definedName name="____RE36">#REF!</definedName>
    <definedName name="____RE38">#REF!</definedName>
    <definedName name="____RE40">#REF!</definedName>
    <definedName name="____RE42">#REF!</definedName>
    <definedName name="____RE44">#REF!</definedName>
    <definedName name="____RE48">#REF!</definedName>
    <definedName name="____RE52">#REF!</definedName>
    <definedName name="____RE56">#REF!</definedName>
    <definedName name="____RE60">#REF!</definedName>
    <definedName name="____RE64">#REF!</definedName>
    <definedName name="____RE68">#REF!</definedName>
    <definedName name="____RE72">#REF!</definedName>
    <definedName name="____RE76">#REF!</definedName>
    <definedName name="____RE80">#REF!</definedName>
    <definedName name="____RE88">#REF!</definedName>
    <definedName name="____RE92">#REF!</definedName>
    <definedName name="____RE96">#REF!</definedName>
    <definedName name="____RR12">#REF!</definedName>
    <definedName name="____RR13">#REF!</definedName>
    <definedName name="____RR14">#REF!</definedName>
    <definedName name="____RR15">#REF!</definedName>
    <definedName name="____SCH6" localSheetId="8">'[9]04REL'!#REF!</definedName>
    <definedName name="____SCH6">'[9]04REL'!#REF!</definedName>
    <definedName name="____w123" localSheetId="45" hidden="1">{"Edition",#N/A,FALSE,"Data"}</definedName>
    <definedName name="____w123" localSheetId="46" hidden="1">{"Edition",#N/A,FALSE,"Data"}</definedName>
    <definedName name="____w123" localSheetId="53" hidden="1">{"Edition",#N/A,FALSE,"Data"}</definedName>
    <definedName name="____w123" localSheetId="8" hidden="1">{"Edition",#N/A,FALSE,"Data"}</definedName>
    <definedName name="____w123" localSheetId="20" hidden="1">{"Edition",#N/A,FALSE,"Data"}</definedName>
    <definedName name="____w123" hidden="1">{"Edition",#N/A,FALSE,"Data"}</definedName>
    <definedName name="____XL__ENTER_UNIT" localSheetId="8">#REF!</definedName>
    <definedName name="____XL__ENTER_UNIT">#REF!</definedName>
    <definedName name="____xlfn.BAHTTEXT" hidden="1">#NAME?</definedName>
    <definedName name="____za1">#REF!</definedName>
    <definedName name="____zz1">#REF!</definedName>
    <definedName name="___a3">[17]Summary!___a3</definedName>
    <definedName name="___AOC2">#REF!</definedName>
    <definedName name="___as3">[10]BEST_17112006!$C$20</definedName>
    <definedName name="___BBQ1">[18]!_xlbgnm.BBQ1</definedName>
    <definedName name="___CO1">#REF!</definedName>
    <definedName name="___D87840">#REF!</definedName>
    <definedName name="___DAT1">#REF!</definedName>
    <definedName name="___DAT10">#REF!</definedName>
    <definedName name="___DAT11">#REF!</definedName>
    <definedName name="___DAT12" localSheetId="8">'[7]ins spares'!#REF!</definedName>
    <definedName name="___DAT12">'[7]ins spares'!#REF!</definedName>
    <definedName name="___DAT13" localSheetId="8">'[7]ins spares'!#REF!</definedName>
    <definedName name="___DAT13">'[7]ins spares'!#REF!</definedName>
    <definedName name="___DAT15" localSheetId="8">'[7]ins spares'!#REF!</definedName>
    <definedName name="___DAT15">'[7]ins spares'!#REF!</definedName>
    <definedName name="___DAT16" localSheetId="8">'[7]ins spares'!#REF!</definedName>
    <definedName name="___DAT16">'[7]ins spares'!#REF!</definedName>
    <definedName name="___DAT18">'[7]ins spares'!#REF!</definedName>
    <definedName name="___DAT19">'[7]ins spares'!#REF!</definedName>
    <definedName name="___DAT2">#REF!</definedName>
    <definedName name="___DAT20">'[7]ins spares'!#REF!</definedName>
    <definedName name="___DAT21">'[7]ins spares'!#REF!</definedName>
    <definedName name="___DAT22">'[7]ins spares'!#REF!</definedName>
    <definedName name="___DAT23">'[7]ins spares'!#REF!</definedName>
    <definedName name="___DAT24">'[7]ins spares'!#REF!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ELL45">#REF!</definedName>
    <definedName name="___ELL90">#REF!</definedName>
    <definedName name="___EMP4">#N/A</definedName>
    <definedName name="___f2">#REF!</definedName>
    <definedName name="___ffr1">#REF!</definedName>
    <definedName name="___ffr2">[11]자바라1!$O$10</definedName>
    <definedName name="___FFr98">'[11]#REF'!$F$29</definedName>
    <definedName name="___FFr99">'[11]#REF'!$G$29</definedName>
    <definedName name="___FRF2">#REF!</definedName>
    <definedName name="___G87634">#REF!</definedName>
    <definedName name="___INDEX_SHEET___ASAP_Utilities" localSheetId="8">#REF!</definedName>
    <definedName name="___INDEX_SHEET___ASAP_Utilities">#REF!</definedName>
    <definedName name="___K5">#REF!</definedName>
    <definedName name="___K6">#REF!</definedName>
    <definedName name="___KD10">[12]현장지지물물량!$A$8:$N$196</definedName>
    <definedName name="___KD11">[12]현장지지물물량!$A$1:$IV$7</definedName>
    <definedName name="___KD12">[12]현장지지물물량!$A$8:$N$196</definedName>
    <definedName name="___KD13">[12]현장지지물물량!$A$1:$IV$7</definedName>
    <definedName name="___KD14">[13]현장지지물물량!$A$9:$N$23</definedName>
    <definedName name="___KD15">[14]현장지지물물량!$A$9:$N$23</definedName>
    <definedName name="___KD16">[14]현장지지물물량!$A$1:$IV$8</definedName>
    <definedName name="___KD18">[14]현장지지물물량!$A$9:$N$23</definedName>
    <definedName name="___KD2" localSheetId="45" hidden="1">#REF!</definedName>
    <definedName name="___KD2" localSheetId="46" hidden="1">#REF!</definedName>
    <definedName name="___KD2" localSheetId="53" hidden="1">#REF!</definedName>
    <definedName name="___KD2" localSheetId="8" hidden="1">#REF!</definedName>
    <definedName name="___KD2" localSheetId="51" hidden="1">#REF!</definedName>
    <definedName name="___KD2" localSheetId="36" hidden="1">#REF!</definedName>
    <definedName name="___KD2" localSheetId="37" hidden="1">#REF!</definedName>
    <definedName name="___KD2" hidden="1">#REF!</definedName>
    <definedName name="___KD3" localSheetId="53" hidden="1">#REF!</definedName>
    <definedName name="___KD3" localSheetId="8" hidden="1">#REF!</definedName>
    <definedName name="___KD3" localSheetId="51" hidden="1">#REF!</definedName>
    <definedName name="___KD3" localSheetId="36" hidden="1">#REF!</definedName>
    <definedName name="___KD3" localSheetId="37" hidden="1">#REF!</definedName>
    <definedName name="___KD3" hidden="1">#REF!</definedName>
    <definedName name="___KD4">[12]현장지지물물량!$A$8:$N$196</definedName>
    <definedName name="___KD5">[14]현장지지물물량!$A$1:$IV$8</definedName>
    <definedName name="___KD6">[14]현장지지물물량!$A$1:$IV$8</definedName>
    <definedName name="___KD7">[14]현장지지물물량!$A$9:$N$23</definedName>
    <definedName name="___KD8">'[15]설산1.나'!$A$8:$J$53</definedName>
    <definedName name="___KD9">[15]본사S!$B$10:$P$103</definedName>
    <definedName name="___KK1" localSheetId="45" hidden="1">#REF!</definedName>
    <definedName name="___KK1" localSheetId="46" hidden="1">#REF!</definedName>
    <definedName name="___KK1" localSheetId="53" hidden="1">#REF!</definedName>
    <definedName name="___KK1" localSheetId="8" hidden="1">#REF!</definedName>
    <definedName name="___KK1" localSheetId="51" hidden="1">#REF!</definedName>
    <definedName name="___KK1" localSheetId="36" hidden="1">#REF!</definedName>
    <definedName name="___KK1" localSheetId="37" hidden="1">#REF!</definedName>
    <definedName name="___KK1" hidden="1">#REF!</definedName>
    <definedName name="___KK2" localSheetId="53" hidden="1">#REF!</definedName>
    <definedName name="___KK2" localSheetId="8" hidden="1">#REF!</definedName>
    <definedName name="___KK2" localSheetId="51" hidden="1">#REF!</definedName>
    <definedName name="___KK2" localSheetId="36" hidden="1">#REF!</definedName>
    <definedName name="___KK2" localSheetId="37" hidden="1">#REF!</definedName>
    <definedName name="___KK2" hidden="1">#REF!</definedName>
    <definedName name="___KK3" localSheetId="53" hidden="1">#REF!</definedName>
    <definedName name="___KK3" localSheetId="8" hidden="1">#REF!</definedName>
    <definedName name="___KK3" localSheetId="51" hidden="1">#REF!</definedName>
    <definedName name="___KK3" localSheetId="36" hidden="1">#REF!</definedName>
    <definedName name="___KK3" localSheetId="37" hidden="1">#REF!</definedName>
    <definedName name="___KK3" hidden="1">#REF!</definedName>
    <definedName name="___LL1">#REF!</definedName>
    <definedName name="___LL2">#REF!</definedName>
    <definedName name="___LL3">#REF!</definedName>
    <definedName name="___LL4">#REF!</definedName>
    <definedName name="___LL5">#REF!</definedName>
    <definedName name="___MPR1">#N/A</definedName>
    <definedName name="___MPR2">#N/A</definedName>
    <definedName name="___MPR3">#N/A</definedName>
    <definedName name="___nh1" localSheetId="8">'[16]Fixed Charge'!#REF!</definedName>
    <definedName name="___nh1">'[16]Fixed Charge'!#REF!</definedName>
    <definedName name="___nis3" localSheetId="45" hidden="1">#REF!</definedName>
    <definedName name="___nis3" localSheetId="46" hidden="1">#REF!</definedName>
    <definedName name="___nis3" localSheetId="53" hidden="1">#REF!</definedName>
    <definedName name="___nis3" localSheetId="8" hidden="1">#REF!</definedName>
    <definedName name="___nis3" localSheetId="51" hidden="1">#REF!</definedName>
    <definedName name="___nis3" localSheetId="36" hidden="1">#REF!</definedName>
    <definedName name="___nis3" localSheetId="37" hidden="1">#REF!</definedName>
    <definedName name="___nis3" hidden="1">#REF!</definedName>
    <definedName name="___p1">#REF!</definedName>
    <definedName name="___p2">#REF!</definedName>
    <definedName name="___P21">#REF!</definedName>
    <definedName name="___P22">#REF!</definedName>
    <definedName name="___p3">#REF!</definedName>
    <definedName name="___P31">#REF!</definedName>
    <definedName name="___P32">#REF!</definedName>
    <definedName name="___P33">#REF!</definedName>
    <definedName name="___P34">#REF!</definedName>
    <definedName name="___PC1">#REF!</definedName>
    <definedName name="___PG1">'[4]Financial Estimates'!$A$7:$B$108</definedName>
    <definedName name="___PG2">#REF!</definedName>
    <definedName name="___PG3">#REF!</definedName>
    <definedName name="___PG5">'[4]Financial Estimates'!$A$271:$D$342</definedName>
    <definedName name="___pg6">'[5]Financial Estimates'!$A$271:$D$342</definedName>
    <definedName name="___pg7">'[5]Financial Estimates'!#REF!</definedName>
    <definedName name="___RE100">#REF!</definedName>
    <definedName name="___RE104">#REF!</definedName>
    <definedName name="___RE112">#REF!</definedName>
    <definedName name="___RE26">#REF!</definedName>
    <definedName name="___RE28">#REF!</definedName>
    <definedName name="___RE30">#REF!</definedName>
    <definedName name="___RE32">#REF!</definedName>
    <definedName name="___RE34">#REF!</definedName>
    <definedName name="___RE36">#REF!</definedName>
    <definedName name="___RE38">#REF!</definedName>
    <definedName name="___RE40">#REF!</definedName>
    <definedName name="___RE42">#REF!</definedName>
    <definedName name="___RE44">#REF!</definedName>
    <definedName name="___RE48">#REF!</definedName>
    <definedName name="___RE52">#REF!</definedName>
    <definedName name="___RE56">#REF!</definedName>
    <definedName name="___RE60">#REF!</definedName>
    <definedName name="___RE64">#REF!</definedName>
    <definedName name="___RE68">#REF!</definedName>
    <definedName name="___RE72">#REF!</definedName>
    <definedName name="___RE76">#REF!</definedName>
    <definedName name="___RE80">#REF!</definedName>
    <definedName name="___RE88">#REF!</definedName>
    <definedName name="___RE92">#REF!</definedName>
    <definedName name="___RE96">#REF!</definedName>
    <definedName name="___RMK1">#N/A</definedName>
    <definedName name="___RMK2">#N/A</definedName>
    <definedName name="___RR11">#REF!</definedName>
    <definedName name="___RR12">#REF!</definedName>
    <definedName name="___RR13">#REF!</definedName>
    <definedName name="___RR14">#REF!</definedName>
    <definedName name="___RR15">#REF!</definedName>
    <definedName name="___SCH6" localSheetId="8">'[9]04REL'!#REF!</definedName>
    <definedName name="___SCH6">'[9]04REL'!#REF!</definedName>
    <definedName name="___SSS1">#REF!</definedName>
    <definedName name="___SSS2">[19]현장지지물물량!$A$9:$N$23</definedName>
    <definedName name="___USD1">'[11]#REF'!$E$26</definedName>
    <definedName name="___USD2">'[11]#REF'!$F$26</definedName>
    <definedName name="___USD3">'[11]#REF'!$G$26</definedName>
    <definedName name="___w123" localSheetId="45" hidden="1">{"Edition",#N/A,FALSE,"Data"}</definedName>
    <definedName name="___w123" localSheetId="46" hidden="1">{"Edition",#N/A,FALSE,"Data"}</definedName>
    <definedName name="___w123" localSheetId="53" hidden="1">{"Edition",#N/A,FALSE,"Data"}</definedName>
    <definedName name="___w123" localSheetId="8" hidden="1">{"Edition",#N/A,FALSE,"Data"}</definedName>
    <definedName name="___w123" localSheetId="20" hidden="1">{"Edition",#N/A,FALSE,"Data"}</definedName>
    <definedName name="___w123" hidden="1">{"Edition",#N/A,FALSE,"Data"}</definedName>
    <definedName name="___XL__ENTER_UNIT" localSheetId="8">#REF!</definedName>
    <definedName name="___XL__ENTER_UNIT">#REF!</definedName>
    <definedName name="___xlfn.BAHTTEXT" hidden="1">#NAME?</definedName>
    <definedName name="___za1">#REF!</definedName>
    <definedName name="___zz1">#REF!</definedName>
    <definedName name="__123Graph_A" localSheetId="46" hidden="1">#REF!</definedName>
    <definedName name="__123Graph_A" localSheetId="53" hidden="1">[20]CE!#REF!</definedName>
    <definedName name="__123Graph_A" localSheetId="4" hidden="1">[20]CE!#REF!</definedName>
    <definedName name="__123Graph_A" localSheetId="5" hidden="1">[20]CE!#REF!</definedName>
    <definedName name="__123Graph_A" localSheetId="7" hidden="1">[20]CE!#REF!</definedName>
    <definedName name="__123Graph_A" localSheetId="51" hidden="1">[20]CE!#REF!</definedName>
    <definedName name="__123Graph_A" localSheetId="36" hidden="1">[20]CE!#REF!</definedName>
    <definedName name="__123Graph_A" localSheetId="37" hidden="1">[20]CE!#REF!</definedName>
    <definedName name="__123Graph_A" localSheetId="10" hidden="1">[20]CE!#REF!</definedName>
    <definedName name="__123Graph_A" localSheetId="18" hidden="1">[20]CE!#REF!</definedName>
    <definedName name="__123Graph_A" localSheetId="23" hidden="1">[20]CE!#REF!</definedName>
    <definedName name="__123Graph_A" localSheetId="24" hidden="1">[20]CE!#REF!</definedName>
    <definedName name="__123Graph_A" hidden="1">[20]CE!#REF!</definedName>
    <definedName name="__123Graph_ACurrent" localSheetId="45" hidden="1">'[21]Eq. Mobilization'!#REF!</definedName>
    <definedName name="__123Graph_ACurrent" localSheetId="53" hidden="1">'[21]Eq. Mobilization'!#REF!</definedName>
    <definedName name="__123Graph_ACurrent" localSheetId="51" hidden="1">'[21]Eq. Mobilization'!#REF!</definedName>
    <definedName name="__123Graph_ACurrent" localSheetId="36" hidden="1">'[21]Eq. Mobilization'!#REF!</definedName>
    <definedName name="__123Graph_ACurrent" localSheetId="37" hidden="1">'[21]Eq. Mobilization'!#REF!</definedName>
    <definedName name="__123Graph_ACurrent" hidden="1">'[21]Eq. Mobilization'!#REF!</definedName>
    <definedName name="__123Graph_ADEMAND" localSheetId="45" hidden="1">#REF!</definedName>
    <definedName name="__123Graph_ADEMAND" localSheetId="46" hidden="1">#REF!</definedName>
    <definedName name="__123Graph_ADEMAND" localSheetId="53" hidden="1">#REF!</definedName>
    <definedName name="__123Graph_ADEMAND" localSheetId="8" hidden="1">#REF!</definedName>
    <definedName name="__123Graph_ADEMAND" localSheetId="51" hidden="1">#REF!</definedName>
    <definedName name="__123Graph_ADEMAND" localSheetId="36" hidden="1">#REF!</definedName>
    <definedName name="__123Graph_ADEMAND" localSheetId="37" hidden="1">#REF!</definedName>
    <definedName name="__123Graph_ADEMAND" hidden="1">#REF!</definedName>
    <definedName name="__123Graph_ADMD_2" localSheetId="53" hidden="1">#REF!</definedName>
    <definedName name="__123Graph_ADMD_2" localSheetId="8" hidden="1">#REF!</definedName>
    <definedName name="__123Graph_ADMD_2" localSheetId="51" hidden="1">#REF!</definedName>
    <definedName name="__123Graph_ADMD_2" localSheetId="36" hidden="1">#REF!</definedName>
    <definedName name="__123Graph_ADMD_2" localSheetId="37" hidden="1">#REF!</definedName>
    <definedName name="__123Graph_ADMD_2" hidden="1">#REF!</definedName>
    <definedName name="__123Graph_AFAC" localSheetId="53" hidden="1">#REF!</definedName>
    <definedName name="__123Graph_AFAC" localSheetId="8" hidden="1">#REF!</definedName>
    <definedName name="__123Graph_AFAC" localSheetId="51" hidden="1">#REF!</definedName>
    <definedName name="__123Graph_AFAC" localSheetId="36" hidden="1">#REF!</definedName>
    <definedName name="__123Graph_AFAC" localSheetId="37" hidden="1">#REF!</definedName>
    <definedName name="__123Graph_AFAC" hidden="1">#REF!</definedName>
    <definedName name="__123Graph_AFAC_COMP" localSheetId="53" hidden="1">#REF!</definedName>
    <definedName name="__123Graph_AFAC_COMP" localSheetId="8" hidden="1">#REF!</definedName>
    <definedName name="__123Graph_AFAC_COMP" localSheetId="51" hidden="1">#REF!</definedName>
    <definedName name="__123Graph_AFAC_COMP" localSheetId="36" hidden="1">#REF!</definedName>
    <definedName name="__123Graph_AFAC_COMP" localSheetId="37" hidden="1">#REF!</definedName>
    <definedName name="__123Graph_AFAC_COMP" hidden="1">#REF!</definedName>
    <definedName name="__123Graph_ASTNPLF" localSheetId="53" hidden="1">[20]CE!#REF!</definedName>
    <definedName name="__123Graph_ASTNPLF" localSheetId="4" hidden="1">[20]CE!#REF!</definedName>
    <definedName name="__123Graph_ASTNPLF" localSheetId="5" hidden="1">[20]CE!#REF!</definedName>
    <definedName name="__123Graph_ASTNPLF" localSheetId="7" hidden="1">[20]CE!#REF!</definedName>
    <definedName name="__123Graph_ASTNPLF" localSheetId="8" hidden="1">[20]CE!#REF!</definedName>
    <definedName name="__123Graph_ASTNPLF" localSheetId="51" hidden="1">[20]CE!#REF!</definedName>
    <definedName name="__123Graph_ASTNPLF" localSheetId="36" hidden="1">[20]CE!#REF!</definedName>
    <definedName name="__123Graph_ASTNPLF" localSheetId="37" hidden="1">[20]CE!#REF!</definedName>
    <definedName name="__123Graph_ASTNPLF" localSheetId="10" hidden="1">[20]CE!#REF!</definedName>
    <definedName name="__123Graph_ASTNPLF" localSheetId="18" hidden="1">[20]CE!#REF!</definedName>
    <definedName name="__123Graph_ASTNPLF" localSheetId="23" hidden="1">[20]CE!#REF!</definedName>
    <definedName name="__123Graph_ASTNPLF" localSheetId="24" hidden="1">[20]CE!#REF!</definedName>
    <definedName name="__123Graph_ASTNPLF" hidden="1">[20]CE!#REF!</definedName>
    <definedName name="__123Graph_B" localSheetId="46" hidden="1">'[21]Eq. Mobilization'!#REF!</definedName>
    <definedName name="__123Graph_B" localSheetId="53" hidden="1">[20]CE!#REF!</definedName>
    <definedName name="__123Graph_B" localSheetId="4" hidden="1">[20]CE!#REF!</definedName>
    <definedName name="__123Graph_B" localSheetId="5" hidden="1">[20]CE!#REF!</definedName>
    <definedName name="__123Graph_B" localSheetId="7" hidden="1">[20]CE!#REF!</definedName>
    <definedName name="__123Graph_B" localSheetId="8" hidden="1">[20]CE!#REF!</definedName>
    <definedName name="__123Graph_B" localSheetId="51" hidden="1">[20]CE!#REF!</definedName>
    <definedName name="__123Graph_B" localSheetId="36" hidden="1">[20]CE!#REF!</definedName>
    <definedName name="__123Graph_B" localSheetId="37" hidden="1">[20]CE!#REF!</definedName>
    <definedName name="__123Graph_B" localSheetId="10" hidden="1">[20]CE!#REF!</definedName>
    <definedName name="__123Graph_B" localSheetId="18" hidden="1">[20]CE!#REF!</definedName>
    <definedName name="__123Graph_B" localSheetId="23" hidden="1">[20]CE!#REF!</definedName>
    <definedName name="__123Graph_B" localSheetId="24" hidden="1">[20]CE!#REF!</definedName>
    <definedName name="__123Graph_B" hidden="1">[20]CE!#REF!</definedName>
    <definedName name="__123Graph_BCurrent" localSheetId="53" hidden="1">'[21]Eq. Mobilization'!#REF!</definedName>
    <definedName name="__123Graph_BCurrent" localSheetId="8" hidden="1">'[21]Eq. Mobilization'!#REF!</definedName>
    <definedName name="__123Graph_BCurrent" localSheetId="51" hidden="1">'[21]Eq. Mobilization'!#REF!</definedName>
    <definedName name="__123Graph_BCurrent" localSheetId="36" hidden="1">'[21]Eq. Mobilization'!#REF!</definedName>
    <definedName name="__123Graph_BCurrent" localSheetId="37" hidden="1">'[21]Eq. Mobilization'!#REF!</definedName>
    <definedName name="__123Graph_BCurrent" hidden="1">'[21]Eq. Mobilization'!#REF!</definedName>
    <definedName name="__123Graph_BDMD_2" localSheetId="45" hidden="1">#REF!</definedName>
    <definedName name="__123Graph_BDMD_2" localSheetId="46" hidden="1">#REF!</definedName>
    <definedName name="__123Graph_BDMD_2" localSheetId="53" hidden="1">#REF!</definedName>
    <definedName name="__123Graph_BDMD_2" localSheetId="8" hidden="1">#REF!</definedName>
    <definedName name="__123Graph_BDMD_2" localSheetId="51" hidden="1">#REF!</definedName>
    <definedName name="__123Graph_BDMD_2" localSheetId="36" hidden="1">#REF!</definedName>
    <definedName name="__123Graph_BDMD_2" localSheetId="37" hidden="1">#REF!</definedName>
    <definedName name="__123Graph_BDMD_2" hidden="1">#REF!</definedName>
    <definedName name="__123Graph_BFAC" localSheetId="53" hidden="1">#REF!</definedName>
    <definedName name="__123Graph_BFAC" localSheetId="8" hidden="1">#REF!</definedName>
    <definedName name="__123Graph_BFAC" localSheetId="51" hidden="1">#REF!</definedName>
    <definedName name="__123Graph_BFAC" localSheetId="36" hidden="1">#REF!</definedName>
    <definedName name="__123Graph_BFAC" localSheetId="37" hidden="1">#REF!</definedName>
    <definedName name="__123Graph_BFAC" hidden="1">#REF!</definedName>
    <definedName name="__123Graph_BFAC_COMP" localSheetId="53" hidden="1">#REF!</definedName>
    <definedName name="__123Graph_BFAC_COMP" localSheetId="8" hidden="1">#REF!</definedName>
    <definedName name="__123Graph_BFAC_COMP" localSheetId="51" hidden="1">#REF!</definedName>
    <definedName name="__123Graph_BFAC_COMP" localSheetId="36" hidden="1">#REF!</definedName>
    <definedName name="__123Graph_BFAC_COMP" localSheetId="37" hidden="1">#REF!</definedName>
    <definedName name="__123Graph_BFAC_COMP" hidden="1">#REF!</definedName>
    <definedName name="__123Graph_BSTNPLF" localSheetId="45" hidden="1">[20]CE!#REF!</definedName>
    <definedName name="__123Graph_BSTNPLF" localSheetId="53" hidden="1">[20]CE!#REF!</definedName>
    <definedName name="__123Graph_BSTNPLF" localSheetId="4" hidden="1">[20]CE!#REF!</definedName>
    <definedName name="__123Graph_BSTNPLF" localSheetId="5" hidden="1">[20]CE!#REF!</definedName>
    <definedName name="__123Graph_BSTNPLF" localSheetId="7" hidden="1">[20]CE!#REF!</definedName>
    <definedName name="__123Graph_BSTNPLF" localSheetId="8" hidden="1">[20]CE!#REF!</definedName>
    <definedName name="__123Graph_BSTNPLF" localSheetId="51" hidden="1">[20]CE!#REF!</definedName>
    <definedName name="__123Graph_BSTNPLF" localSheetId="36" hidden="1">[20]CE!#REF!</definedName>
    <definedName name="__123Graph_BSTNPLF" localSheetId="37" hidden="1">[20]CE!#REF!</definedName>
    <definedName name="__123Graph_BSTNPLF" localSheetId="10" hidden="1">[20]CE!#REF!</definedName>
    <definedName name="__123Graph_BSTNPLF" localSheetId="18" hidden="1">[20]CE!#REF!</definedName>
    <definedName name="__123Graph_BSTNPLF" localSheetId="23" hidden="1">[20]CE!#REF!</definedName>
    <definedName name="__123Graph_BSTNPLF" localSheetId="24" hidden="1">[20]CE!#REF!</definedName>
    <definedName name="__123Graph_BSTNPLF" hidden="1">[20]CE!#REF!</definedName>
    <definedName name="__123Graph_C" localSheetId="45" hidden="1">[20]CE!#REF!</definedName>
    <definedName name="__123Graph_C" localSheetId="53" hidden="1">[20]CE!#REF!</definedName>
    <definedName name="__123Graph_C" localSheetId="4" hidden="1">[20]CE!#REF!</definedName>
    <definedName name="__123Graph_C" localSheetId="5" hidden="1">[20]CE!#REF!</definedName>
    <definedName name="__123Graph_C" localSheetId="7" hidden="1">[20]CE!#REF!</definedName>
    <definedName name="__123Graph_C" localSheetId="8" hidden="1">[20]CE!#REF!</definedName>
    <definedName name="__123Graph_C" localSheetId="51" hidden="1">[20]CE!#REF!</definedName>
    <definedName name="__123Graph_C" localSheetId="36" hidden="1">[20]CE!#REF!</definedName>
    <definedName name="__123Graph_C" localSheetId="37" hidden="1">[20]CE!#REF!</definedName>
    <definedName name="__123Graph_C" localSheetId="10" hidden="1">[20]CE!#REF!</definedName>
    <definedName name="__123Graph_C" localSheetId="18" hidden="1">[20]CE!#REF!</definedName>
    <definedName name="__123Graph_C" localSheetId="23" hidden="1">[20]CE!#REF!</definedName>
    <definedName name="__123Graph_C" localSheetId="24" hidden="1">[20]CE!#REF!</definedName>
    <definedName name="__123Graph_C" hidden="1">[20]CE!#REF!</definedName>
    <definedName name="__123Graph_CSTNPLF" localSheetId="53" hidden="1">[20]CE!#REF!</definedName>
    <definedName name="__123Graph_CSTNPLF" localSheetId="4" hidden="1">[20]CE!#REF!</definedName>
    <definedName name="__123Graph_CSTNPLF" localSheetId="5" hidden="1">[20]CE!#REF!</definedName>
    <definedName name="__123Graph_CSTNPLF" localSheetId="7" hidden="1">[20]CE!#REF!</definedName>
    <definedName name="__123Graph_CSTNPLF" localSheetId="8" hidden="1">[20]CE!#REF!</definedName>
    <definedName name="__123Graph_CSTNPLF" localSheetId="51" hidden="1">[20]CE!#REF!</definedName>
    <definedName name="__123Graph_CSTNPLF" localSheetId="36" hidden="1">[20]CE!#REF!</definedName>
    <definedName name="__123Graph_CSTNPLF" localSheetId="37" hidden="1">[20]CE!#REF!</definedName>
    <definedName name="__123Graph_CSTNPLF" localSheetId="10" hidden="1">[20]CE!#REF!</definedName>
    <definedName name="__123Graph_CSTNPLF" localSheetId="18" hidden="1">[20]CE!#REF!</definedName>
    <definedName name="__123Graph_CSTNPLF" localSheetId="23" hidden="1">[20]CE!#REF!</definedName>
    <definedName name="__123Graph_CSTNPLF" localSheetId="24" hidden="1">[20]CE!#REF!</definedName>
    <definedName name="__123Graph_CSTNPLF" hidden="1">[20]CE!#REF!</definedName>
    <definedName name="__123Graph_D" localSheetId="45" hidden="1">#REF!</definedName>
    <definedName name="__123Graph_D" localSheetId="46" hidden="1">#REF!</definedName>
    <definedName name="__123Graph_D" localSheetId="53" hidden="1">#REF!</definedName>
    <definedName name="__123Graph_D" localSheetId="8" hidden="1">#REF!</definedName>
    <definedName name="__123Graph_D" localSheetId="51" hidden="1">#REF!</definedName>
    <definedName name="__123Graph_D" localSheetId="36" hidden="1">#REF!</definedName>
    <definedName name="__123Graph_D" localSheetId="37" hidden="1">#REF!</definedName>
    <definedName name="__123Graph_D" hidden="1">#REF!</definedName>
    <definedName name="__123Graph_E" localSheetId="53" hidden="1">#REF!</definedName>
    <definedName name="__123Graph_E" localSheetId="8" hidden="1">#REF!</definedName>
    <definedName name="__123Graph_E" localSheetId="51" hidden="1">#REF!</definedName>
    <definedName name="__123Graph_E" localSheetId="36" hidden="1">#REF!</definedName>
    <definedName name="__123Graph_E" localSheetId="37" hidden="1">#REF!</definedName>
    <definedName name="__123Graph_E" hidden="1">#REF!</definedName>
    <definedName name="__123Graph_LBL_A" localSheetId="53" hidden="1">#REF!</definedName>
    <definedName name="__123Graph_LBL_A" localSheetId="8" hidden="1">#REF!</definedName>
    <definedName name="__123Graph_LBL_A" localSheetId="51" hidden="1">#REF!</definedName>
    <definedName name="__123Graph_LBL_A" localSheetId="36" hidden="1">#REF!</definedName>
    <definedName name="__123Graph_LBL_A" localSheetId="37" hidden="1">#REF!</definedName>
    <definedName name="__123Graph_LBL_A" hidden="1">#REF!</definedName>
    <definedName name="__123Graph_LBL_ADEMAND" localSheetId="53" hidden="1">#REF!</definedName>
    <definedName name="__123Graph_LBL_ADEMAND" localSheetId="8" hidden="1">#REF!</definedName>
    <definedName name="__123Graph_LBL_ADEMAND" localSheetId="51" hidden="1">#REF!</definedName>
    <definedName name="__123Graph_LBL_ADEMAND" localSheetId="36" hidden="1">#REF!</definedName>
    <definedName name="__123Graph_LBL_ADEMAND" localSheetId="37" hidden="1">#REF!</definedName>
    <definedName name="__123Graph_LBL_ADEMAND" hidden="1">#REF!</definedName>
    <definedName name="__123Graph_LBL_ADMD_2" localSheetId="53" hidden="1">#REF!</definedName>
    <definedName name="__123Graph_LBL_ADMD_2" localSheetId="8" hidden="1">#REF!</definedName>
    <definedName name="__123Graph_LBL_ADMD_2" localSheetId="51" hidden="1">#REF!</definedName>
    <definedName name="__123Graph_LBL_ADMD_2" localSheetId="36" hidden="1">#REF!</definedName>
    <definedName name="__123Graph_LBL_ADMD_2" localSheetId="37" hidden="1">#REF!</definedName>
    <definedName name="__123Graph_LBL_ADMD_2" hidden="1">#REF!</definedName>
    <definedName name="__123Graph_LBL_AFAC" localSheetId="53" hidden="1">#REF!</definedName>
    <definedName name="__123Graph_LBL_AFAC" localSheetId="8" hidden="1">#REF!</definedName>
    <definedName name="__123Graph_LBL_AFAC" localSheetId="51" hidden="1">#REF!</definedName>
    <definedName name="__123Graph_LBL_AFAC" localSheetId="36" hidden="1">#REF!</definedName>
    <definedName name="__123Graph_LBL_AFAC" localSheetId="37" hidden="1">#REF!</definedName>
    <definedName name="__123Graph_LBL_AFAC" hidden="1">#REF!</definedName>
    <definedName name="__123Graph_LBL_AFAC_COMP" localSheetId="53" hidden="1">#REF!</definedName>
    <definedName name="__123Graph_LBL_AFAC_COMP" localSheetId="8" hidden="1">#REF!</definedName>
    <definedName name="__123Graph_LBL_AFAC_COMP" localSheetId="51" hidden="1">#REF!</definedName>
    <definedName name="__123Graph_LBL_AFAC_COMP" localSheetId="36" hidden="1">#REF!</definedName>
    <definedName name="__123Graph_LBL_AFAC_COMP" localSheetId="37" hidden="1">#REF!</definedName>
    <definedName name="__123Graph_LBL_AFAC_COMP" hidden="1">#REF!</definedName>
    <definedName name="__123Graph_LBL_B" localSheetId="53" hidden="1">'[21]Eq. Mobilization'!#REF!</definedName>
    <definedName name="__123Graph_LBL_B" localSheetId="8" hidden="1">'[21]Eq. Mobilization'!#REF!</definedName>
    <definedName name="__123Graph_LBL_B" localSheetId="51" hidden="1">'[21]Eq. Mobilization'!#REF!</definedName>
    <definedName name="__123Graph_LBL_B" localSheetId="36" hidden="1">'[21]Eq. Mobilization'!#REF!</definedName>
    <definedName name="__123Graph_LBL_B" localSheetId="37" hidden="1">'[21]Eq. Mobilization'!#REF!</definedName>
    <definedName name="__123Graph_LBL_B" hidden="1">'[21]Eq. Mobilization'!#REF!</definedName>
    <definedName name="__123Graph_LBL_BDMD_2" localSheetId="45" hidden="1">#REF!</definedName>
    <definedName name="__123Graph_LBL_BDMD_2" localSheetId="46" hidden="1">#REF!</definedName>
    <definedName name="__123Graph_LBL_BDMD_2" localSheetId="53" hidden="1">#REF!</definedName>
    <definedName name="__123Graph_LBL_BDMD_2" localSheetId="8" hidden="1">#REF!</definedName>
    <definedName name="__123Graph_LBL_BDMD_2" localSheetId="51" hidden="1">#REF!</definedName>
    <definedName name="__123Graph_LBL_BDMD_2" localSheetId="36" hidden="1">#REF!</definedName>
    <definedName name="__123Graph_LBL_BDMD_2" localSheetId="37" hidden="1">#REF!</definedName>
    <definedName name="__123Graph_LBL_BDMD_2" hidden="1">#REF!</definedName>
    <definedName name="__123Graph_LBL_BFAC" localSheetId="53" hidden="1">#REF!</definedName>
    <definedName name="__123Graph_LBL_BFAC" localSheetId="8" hidden="1">#REF!</definedName>
    <definedName name="__123Graph_LBL_BFAC" localSheetId="51" hidden="1">#REF!</definedName>
    <definedName name="__123Graph_LBL_BFAC" localSheetId="36" hidden="1">#REF!</definedName>
    <definedName name="__123Graph_LBL_BFAC" localSheetId="37" hidden="1">#REF!</definedName>
    <definedName name="__123Graph_LBL_BFAC" hidden="1">#REF!</definedName>
    <definedName name="__123Graph_LBL_BFAC_COMP" localSheetId="53" hidden="1">#REF!</definedName>
    <definedName name="__123Graph_LBL_BFAC_COMP" localSheetId="8" hidden="1">#REF!</definedName>
    <definedName name="__123Graph_LBL_BFAC_COMP" localSheetId="51" hidden="1">#REF!</definedName>
    <definedName name="__123Graph_LBL_BFAC_COMP" localSheetId="36" hidden="1">#REF!</definedName>
    <definedName name="__123Graph_LBL_BFAC_COMP" localSheetId="37" hidden="1">#REF!</definedName>
    <definedName name="__123Graph_LBL_BFAC_COMP" hidden="1">#REF!</definedName>
    <definedName name="__123Graph_X" localSheetId="46" hidden="1">#REF!</definedName>
    <definedName name="__123Graph_X" localSheetId="53" hidden="1">[20]CE!#REF!</definedName>
    <definedName name="__123Graph_X" localSheetId="4" hidden="1">[20]CE!#REF!</definedName>
    <definedName name="__123Graph_X" localSheetId="5" hidden="1">[20]CE!#REF!</definedName>
    <definedName name="__123Graph_X" localSheetId="7" hidden="1">[20]CE!#REF!</definedName>
    <definedName name="__123Graph_X" localSheetId="8" hidden="1">[20]CE!#REF!</definedName>
    <definedName name="__123Graph_X" localSheetId="51" hidden="1">[20]CE!#REF!</definedName>
    <definedName name="__123Graph_X" localSheetId="36" hidden="1">[20]CE!#REF!</definedName>
    <definedName name="__123Graph_X" localSheetId="37" hidden="1">[20]CE!#REF!</definedName>
    <definedName name="__123Graph_X" localSheetId="10" hidden="1">[20]CE!#REF!</definedName>
    <definedName name="__123Graph_X" localSheetId="18" hidden="1">[20]CE!#REF!</definedName>
    <definedName name="__123Graph_X" localSheetId="23" hidden="1">[20]CE!#REF!</definedName>
    <definedName name="__123Graph_X" localSheetId="24" hidden="1">[20]CE!#REF!</definedName>
    <definedName name="__123Graph_X" hidden="1">[20]CE!#REF!</definedName>
    <definedName name="__123Graph_XCurrent" localSheetId="53" hidden="1">'[21]Eq. Mobilization'!#REF!</definedName>
    <definedName name="__123Graph_XCurrent" localSheetId="8" hidden="1">'[21]Eq. Mobilization'!#REF!</definedName>
    <definedName name="__123Graph_XCurrent" localSheetId="51" hidden="1">'[21]Eq. Mobilization'!#REF!</definedName>
    <definedName name="__123Graph_XCurrent" localSheetId="36" hidden="1">'[21]Eq. Mobilization'!#REF!</definedName>
    <definedName name="__123Graph_XCurrent" localSheetId="37" hidden="1">'[21]Eq. Mobilization'!#REF!</definedName>
    <definedName name="__123Graph_XCurrent" hidden="1">'[21]Eq. Mobilization'!#REF!</definedName>
    <definedName name="__123Graph_XDEMAND" localSheetId="45" hidden="1">#REF!</definedName>
    <definedName name="__123Graph_XDEMAND" localSheetId="46" hidden="1">#REF!</definedName>
    <definedName name="__123Graph_XDEMAND" localSheetId="53" hidden="1">#REF!</definedName>
    <definedName name="__123Graph_XDEMAND" localSheetId="8" hidden="1">#REF!</definedName>
    <definedName name="__123Graph_XDEMAND" localSheetId="51" hidden="1">#REF!</definedName>
    <definedName name="__123Graph_XDEMAND" localSheetId="36" hidden="1">#REF!</definedName>
    <definedName name="__123Graph_XDEMAND" localSheetId="37" hidden="1">#REF!</definedName>
    <definedName name="__123Graph_XDEMAND" hidden="1">#REF!</definedName>
    <definedName name="__123Graph_XDMD_2" localSheetId="53" hidden="1">#REF!</definedName>
    <definedName name="__123Graph_XDMD_2" localSheetId="8" hidden="1">#REF!</definedName>
    <definedName name="__123Graph_XDMD_2" localSheetId="51" hidden="1">#REF!</definedName>
    <definedName name="__123Graph_XDMD_2" localSheetId="36" hidden="1">#REF!</definedName>
    <definedName name="__123Graph_XDMD_2" localSheetId="37" hidden="1">#REF!</definedName>
    <definedName name="__123Graph_XDMD_2" hidden="1">#REF!</definedName>
    <definedName name="__123Graph_XFAC" localSheetId="53" hidden="1">#REF!</definedName>
    <definedName name="__123Graph_XFAC" localSheetId="8" hidden="1">#REF!</definedName>
    <definedName name="__123Graph_XFAC" localSheetId="51" hidden="1">#REF!</definedName>
    <definedName name="__123Graph_XFAC" localSheetId="36" hidden="1">#REF!</definedName>
    <definedName name="__123Graph_XFAC" localSheetId="37" hidden="1">#REF!</definedName>
    <definedName name="__123Graph_XFAC" hidden="1">#REF!</definedName>
    <definedName name="__123Graph_XFAC_COMP" localSheetId="53" hidden="1">#REF!</definedName>
    <definedName name="__123Graph_XFAC_COMP" localSheetId="8" hidden="1">#REF!</definedName>
    <definedName name="__123Graph_XFAC_COMP" localSheetId="51" hidden="1">#REF!</definedName>
    <definedName name="__123Graph_XFAC_COMP" localSheetId="36" hidden="1">#REF!</definedName>
    <definedName name="__123Graph_XFAC_COMP" localSheetId="37" hidden="1">#REF!</definedName>
    <definedName name="__123Graph_XFAC_COMP" hidden="1">#REF!</definedName>
    <definedName name="__123Graph_XSTNPLF" localSheetId="53" hidden="1">[20]CE!#REF!</definedName>
    <definedName name="__123Graph_XSTNPLF" localSheetId="4" hidden="1">[20]CE!#REF!</definedName>
    <definedName name="__123Graph_XSTNPLF" localSheetId="5" hidden="1">[20]CE!#REF!</definedName>
    <definedName name="__123Graph_XSTNPLF" localSheetId="7" hidden="1">[20]CE!#REF!</definedName>
    <definedName name="__123Graph_XSTNPLF" localSheetId="8" hidden="1">[20]CE!#REF!</definedName>
    <definedName name="__123Graph_XSTNPLF" localSheetId="51" hidden="1">[20]CE!#REF!</definedName>
    <definedName name="__123Graph_XSTNPLF" localSheetId="36" hidden="1">[20]CE!#REF!</definedName>
    <definedName name="__123Graph_XSTNPLF" localSheetId="37" hidden="1">[20]CE!#REF!</definedName>
    <definedName name="__123Graph_XSTNPLF" localSheetId="10" hidden="1">[20]CE!#REF!</definedName>
    <definedName name="__123Graph_XSTNPLF" localSheetId="18" hidden="1">[20]CE!#REF!</definedName>
    <definedName name="__123Graph_XSTNPLF" localSheetId="23" hidden="1">[20]CE!#REF!</definedName>
    <definedName name="__123Graph_XSTNPLF" localSheetId="24" hidden="1">[20]CE!#REF!</definedName>
    <definedName name="__123Graph_XSTNPLF" hidden="1">[20]CE!#REF!</definedName>
    <definedName name="__a3">[17]Summary!__a3</definedName>
    <definedName name="__AOC2">#REF!</definedName>
    <definedName name="__as3">[10]BEST_17112006!$C$20</definedName>
    <definedName name="__CO1">#REF!</definedName>
    <definedName name="__D87840">#REF!</definedName>
    <definedName name="__DAT1">#REF!</definedName>
    <definedName name="__DAT10">#REF!</definedName>
    <definedName name="__DAT11">#REF!</definedName>
    <definedName name="__DAT12">'[7]ins spares'!#REF!</definedName>
    <definedName name="__DAT13" localSheetId="8">'[7]ins spares'!#REF!</definedName>
    <definedName name="__DAT13">'[7]ins spares'!#REF!</definedName>
    <definedName name="__DAT15" localSheetId="8">'[7]ins spares'!#REF!</definedName>
    <definedName name="__DAT15">'[7]ins spares'!#REF!</definedName>
    <definedName name="__DAT16" localSheetId="8">'[7]ins spares'!#REF!</definedName>
    <definedName name="__DAT16">'[7]ins spares'!#REF!</definedName>
    <definedName name="__DAT18" localSheetId="8">'[7]ins spares'!#REF!</definedName>
    <definedName name="__DAT18">'[7]ins spares'!#REF!</definedName>
    <definedName name="__DAT19">'[7]ins spares'!#REF!</definedName>
    <definedName name="__DAT2">#REF!</definedName>
    <definedName name="__DAT20">'[7]ins spares'!#REF!</definedName>
    <definedName name="__DAT21">'[7]ins spares'!#REF!</definedName>
    <definedName name="__DAT22">'[7]ins spares'!#REF!</definedName>
    <definedName name="__DAT23">'[7]ins spares'!#REF!</definedName>
    <definedName name="__DAT24">'[7]ins spares'!#REF!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DOWN_10__GOTO" localSheetId="8">#REF!</definedName>
    <definedName name="__DOWN_10__GOTO">#REF!</definedName>
    <definedName name="__ELL45">#REF!</definedName>
    <definedName name="__ELL90">#REF!</definedName>
    <definedName name="__EMP4">#N/A</definedName>
    <definedName name="__ES84__EW84_0." localSheetId="8">#REF!</definedName>
    <definedName name="__ES84__EW84_0.">#REF!</definedName>
    <definedName name="__f2">#REF!</definedName>
    <definedName name="__ffr1">#REF!</definedName>
    <definedName name="__ffr2">[11]자바라1!$O$10</definedName>
    <definedName name="__FFr98">'[11]#REF'!$F$29</definedName>
    <definedName name="__FFr99">'[11]#REF'!$G$29</definedName>
    <definedName name="__FRF2">#REF!</definedName>
    <definedName name="__G87634">#REF!</definedName>
    <definedName name="__GOTO_EP84__AV" localSheetId="8">#REF!</definedName>
    <definedName name="__GOTO_EP84__AV">#REF!</definedName>
    <definedName name="__K3">#REF!</definedName>
    <definedName name="__K5">#REF!</definedName>
    <definedName name="__K6">#REF!</definedName>
    <definedName name="__KD10">[12]현장지지물물량!$A$8:$N$196</definedName>
    <definedName name="__KD11">[12]현장지지물물량!$A$1:$IV$7</definedName>
    <definedName name="__KD12">[12]현장지지물물량!$A$8:$N$196</definedName>
    <definedName name="__KD13">[12]현장지지물물량!$A$1:$IV$7</definedName>
    <definedName name="__KD14">[13]현장지지물물량!$A$9:$N$23</definedName>
    <definedName name="__KD15">[14]현장지지물물량!$A$9:$N$23</definedName>
    <definedName name="__KD16">[14]현장지지물물량!$A$1:$IV$8</definedName>
    <definedName name="__KD18">[14]현장지지물물량!$A$9:$N$23</definedName>
    <definedName name="__KD2" localSheetId="45" hidden="1">#REF!</definedName>
    <definedName name="__KD2" localSheetId="46" hidden="1">#REF!</definedName>
    <definedName name="__KD2" localSheetId="53" hidden="1">#REF!</definedName>
    <definedName name="__KD2" localSheetId="8" hidden="1">#REF!</definedName>
    <definedName name="__KD2" localSheetId="51" hidden="1">#REF!</definedName>
    <definedName name="__KD2" localSheetId="36" hidden="1">#REF!</definedName>
    <definedName name="__KD2" localSheetId="37" hidden="1">#REF!</definedName>
    <definedName name="__KD2" hidden="1">#REF!</definedName>
    <definedName name="__KD3" localSheetId="53" hidden="1">#REF!</definedName>
    <definedName name="__KD3" localSheetId="8" hidden="1">#REF!</definedName>
    <definedName name="__KD3" localSheetId="51" hidden="1">#REF!</definedName>
    <definedName name="__KD3" localSheetId="36" hidden="1">#REF!</definedName>
    <definedName name="__KD3" localSheetId="37" hidden="1">#REF!</definedName>
    <definedName name="__KD3" hidden="1">#REF!</definedName>
    <definedName name="__KD4">[12]현장지지물물량!$A$8:$N$196</definedName>
    <definedName name="__KD5">[14]현장지지물물량!$A$1:$IV$8</definedName>
    <definedName name="__KD6">[14]현장지지물물량!$A$1:$IV$8</definedName>
    <definedName name="__KD7">[14]현장지지물물량!$A$9:$N$23</definedName>
    <definedName name="__KD8">'[15]설산1.나'!$A$8:$J$53</definedName>
    <definedName name="__KD9">[15]본사S!$B$10:$P$103</definedName>
    <definedName name="__KK1" localSheetId="45" hidden="1">#REF!</definedName>
    <definedName name="__KK1" localSheetId="46" hidden="1">#REF!</definedName>
    <definedName name="__KK1" localSheetId="53" hidden="1">#REF!</definedName>
    <definedName name="__KK1" localSheetId="8" hidden="1">#REF!</definedName>
    <definedName name="__KK1" localSheetId="51" hidden="1">#REF!</definedName>
    <definedName name="__KK1" localSheetId="36" hidden="1">#REF!</definedName>
    <definedName name="__KK1" localSheetId="37" hidden="1">#REF!</definedName>
    <definedName name="__KK1" hidden="1">#REF!</definedName>
    <definedName name="__KK2" localSheetId="53" hidden="1">#REF!</definedName>
    <definedName name="__KK2" localSheetId="8" hidden="1">#REF!</definedName>
    <definedName name="__KK2" localSheetId="51" hidden="1">#REF!</definedName>
    <definedName name="__KK2" localSheetId="36" hidden="1">#REF!</definedName>
    <definedName name="__KK2" localSheetId="37" hidden="1">#REF!</definedName>
    <definedName name="__KK2" hidden="1">#REF!</definedName>
    <definedName name="__KK3" localSheetId="53" hidden="1">#REF!</definedName>
    <definedName name="__KK3" localSheetId="8" hidden="1">#REF!</definedName>
    <definedName name="__KK3" localSheetId="51" hidden="1">#REF!</definedName>
    <definedName name="__KK3" localSheetId="36" hidden="1">#REF!</definedName>
    <definedName name="__KK3" localSheetId="37" hidden="1">#REF!</definedName>
    <definedName name="__KK3" hidden="1">#REF!</definedName>
    <definedName name="__LL1">#REF!</definedName>
    <definedName name="__LL2">#REF!</definedName>
    <definedName name="__LL3">#REF!</definedName>
    <definedName name="__LL4">#REF!</definedName>
    <definedName name="__LL5">#REF!</definedName>
    <definedName name="__MPR1">#N/A</definedName>
    <definedName name="__MPR2">#N/A</definedName>
    <definedName name="__MPR3">#N/A</definedName>
    <definedName name="__nh1" localSheetId="8">'[16]Fixed Charge'!#REF!</definedName>
    <definedName name="__nh1">'[16]Fixed Charge'!#REF!</definedName>
    <definedName name="__nis3" localSheetId="45" hidden="1">#REF!</definedName>
    <definedName name="__nis3" localSheetId="46" hidden="1">#REF!</definedName>
    <definedName name="__nis3" localSheetId="53" hidden="1">#REF!</definedName>
    <definedName name="__nis3" localSheetId="8" hidden="1">#REF!</definedName>
    <definedName name="__nis3" localSheetId="51" hidden="1">#REF!</definedName>
    <definedName name="__nis3" localSheetId="36" hidden="1">#REF!</definedName>
    <definedName name="__nis3" localSheetId="37" hidden="1">#REF!</definedName>
    <definedName name="__nis3" hidden="1">#REF!</definedName>
    <definedName name="__p1">#REF!</definedName>
    <definedName name="__p2">#REF!</definedName>
    <definedName name="__P21">#REF!</definedName>
    <definedName name="__P22">#REF!</definedName>
    <definedName name="__p3">#REF!</definedName>
    <definedName name="__P31">#REF!</definedName>
    <definedName name="__P32">#REF!</definedName>
    <definedName name="__P33">#REF!</definedName>
    <definedName name="__P34">#REF!</definedName>
    <definedName name="__PC1">#REF!</definedName>
    <definedName name="__PG1">'[4]Financial Estimates'!$A$7:$B$108</definedName>
    <definedName name="__PG2">#REF!</definedName>
    <definedName name="__PG3">#REF!</definedName>
    <definedName name="__PG5">'[4]Financial Estimates'!$A$271:$D$342</definedName>
    <definedName name="__pg6">'[5]Financial Estimates'!$A$271:$D$342</definedName>
    <definedName name="__pg7">'[5]Financial Estimates'!#REF!</definedName>
    <definedName name="__RE100">#REF!</definedName>
    <definedName name="__RE104">#REF!</definedName>
    <definedName name="__RE112">#REF!</definedName>
    <definedName name="__RE26">#REF!</definedName>
    <definedName name="__RE28">#REF!</definedName>
    <definedName name="__RE30">#REF!</definedName>
    <definedName name="__RE32">#REF!</definedName>
    <definedName name="__RE34">#REF!</definedName>
    <definedName name="__RE36">#REF!</definedName>
    <definedName name="__RE38">#REF!</definedName>
    <definedName name="__RE40">#REF!</definedName>
    <definedName name="__RE42">#REF!</definedName>
    <definedName name="__RE44">#REF!</definedName>
    <definedName name="__RE48">#REF!</definedName>
    <definedName name="__RE52">#REF!</definedName>
    <definedName name="__RE56">#REF!</definedName>
    <definedName name="__RE60">#REF!</definedName>
    <definedName name="__RE64">#REF!</definedName>
    <definedName name="__RE68">#REF!</definedName>
    <definedName name="__RE72">#REF!</definedName>
    <definedName name="__RE76">#REF!</definedName>
    <definedName name="__RE80">#REF!</definedName>
    <definedName name="__RE88">#REF!</definedName>
    <definedName name="__RE92">#REF!</definedName>
    <definedName name="__RE96">#REF!</definedName>
    <definedName name="__RMK1">#N/A</definedName>
    <definedName name="__RMK2">#N/A</definedName>
    <definedName name="__RR11">#REF!</definedName>
    <definedName name="__RR12">#REF!</definedName>
    <definedName name="__RR13">#REF!</definedName>
    <definedName name="__RR14">#REF!</definedName>
    <definedName name="__RR15">#REF!</definedName>
    <definedName name="__SCH6" localSheetId="8">'[9]04REL'!#REF!</definedName>
    <definedName name="__SCH6">'[9]04REL'!#REF!</definedName>
    <definedName name="__SSS1">#REF!</definedName>
    <definedName name="__SSS2">[19]현장지지물물량!$A$9:$N$23</definedName>
    <definedName name="__SUM_CS57..CS6" localSheetId="8">#REF!</definedName>
    <definedName name="__SUM_CS57..CS6">#REF!</definedName>
    <definedName name="__SUM_CS65..CS7" localSheetId="8">#REF!</definedName>
    <definedName name="__SUM_CS65..CS7">#REF!</definedName>
    <definedName name="__SUM_FQ20..FQ2" localSheetId="8">#REF!</definedName>
    <definedName name="__SUM_FQ20..FQ2">#REF!</definedName>
    <definedName name="__SUM_FQ28..FQ3" localSheetId="8">#REF!</definedName>
    <definedName name="__SUM_FQ28..FQ3">#REF!</definedName>
    <definedName name="__USD1">'[11]#REF'!$E$26</definedName>
    <definedName name="__USD2">'[11]#REF'!$F$26</definedName>
    <definedName name="__USD3">'[11]#REF'!$G$26</definedName>
    <definedName name="__w123" localSheetId="45" hidden="1">{"Edition",#N/A,FALSE,"Data"}</definedName>
    <definedName name="__w123" localSheetId="46" hidden="1">{"Edition",#N/A,FALSE,"Data"}</definedName>
    <definedName name="__w123" localSheetId="53" hidden="1">{"Edition",#N/A,FALSE,"Data"}</definedName>
    <definedName name="__w123" localSheetId="8" hidden="1">{"Edition",#N/A,FALSE,"Data"}</definedName>
    <definedName name="__w123" localSheetId="20" hidden="1">{"Edition",#N/A,FALSE,"Data"}</definedName>
    <definedName name="__w123" hidden="1">{"Edition",#N/A,FALSE,"Data"}</definedName>
    <definedName name="__XL__ENTER_UNIT" localSheetId="8">#REF!</definedName>
    <definedName name="__XL__ENTER_UNIT">#REF!</definedName>
    <definedName name="__xlfn.BAHTTEXT" hidden="1">#NAME?</definedName>
    <definedName name="__za1">#REF!</definedName>
    <definedName name="__zz1">#REF!</definedName>
    <definedName name="_1">#N/A</definedName>
    <definedName name="_10__123Graph_BI_II_PLF" localSheetId="36" hidden="1">[22]CE!#REF!</definedName>
    <definedName name="_10__123Graph_BI_II_PLF" localSheetId="37" hidden="1">[22]CE!#REF!</definedName>
    <definedName name="_10__123Graph_BI_II_PLF" hidden="1">[22]CE!#REF!</definedName>
    <definedName name="_11">#N/A</definedName>
    <definedName name="_11__123Graph_CI_II_PLF" localSheetId="36" hidden="1">[22]CE!#REF!</definedName>
    <definedName name="_11__123Graph_CI_II_PLF" localSheetId="37" hidden="1">[22]CE!#REF!</definedName>
    <definedName name="_11__123Graph_CI_II_PLF" hidden="1">[22]CE!#REF!</definedName>
    <definedName name="_12">#N/A</definedName>
    <definedName name="_12__123Graph_XI_II_PLF" localSheetId="36" hidden="1">[22]CE!#REF!</definedName>
    <definedName name="_12__123Graph_XI_II_PLF" localSheetId="37" hidden="1">[22]CE!#REF!</definedName>
    <definedName name="_12__123Graph_XI_II_PLF" hidden="1">[22]CE!#REF!</definedName>
    <definedName name="_2">#N/A</definedName>
    <definedName name="_2___123Graph_AI_II_PLF" localSheetId="36" hidden="1">[20]CE!#REF!</definedName>
    <definedName name="_2___123Graph_AI_II_PLF" localSheetId="37" hidden="1">[20]CE!#REF!</definedName>
    <definedName name="_2___123Graph_AI_II_PLF" hidden="1">[20]CE!#REF!</definedName>
    <definedName name="_21">#N/A</definedName>
    <definedName name="_22">#N/A</definedName>
    <definedName name="_23">#N/A</definedName>
    <definedName name="_24">#N/A</definedName>
    <definedName name="_25">#N/A</definedName>
    <definedName name="_31">#N/A</definedName>
    <definedName name="_32">#N/A</definedName>
    <definedName name="_33">#N/A</definedName>
    <definedName name="_34">#N/A</definedName>
    <definedName name="_35">#N/A</definedName>
    <definedName name="_36">#N/A</definedName>
    <definedName name="_4___123Graph_BI_II_PLF" localSheetId="36" hidden="1">[20]CE!#REF!</definedName>
    <definedName name="_4___123Graph_BI_II_PLF" localSheetId="37" hidden="1">[20]CE!#REF!</definedName>
    <definedName name="_4___123Graph_BI_II_PLF" hidden="1">[20]CE!#REF!</definedName>
    <definedName name="_41">#N/A</definedName>
    <definedName name="_42">#N/A</definedName>
    <definedName name="_４４__分_期">#REF!</definedName>
    <definedName name="_5" localSheetId="8">#REF!</definedName>
    <definedName name="_5">#REF!</definedName>
    <definedName name="_51">#N/A</definedName>
    <definedName name="_52">#N/A</definedName>
    <definedName name="_53">#N/A</definedName>
    <definedName name="_54">#N/A</definedName>
    <definedName name="_6" localSheetId="8">#REF!</definedName>
    <definedName name="_6">#REF!</definedName>
    <definedName name="_6___123Graph_CI_II_PLF" localSheetId="8" hidden="1">[20]CE!#REF!</definedName>
    <definedName name="_6___123Graph_CI_II_PLF" localSheetId="36" hidden="1">[20]CE!#REF!</definedName>
    <definedName name="_6___123Graph_CI_II_PLF" localSheetId="37" hidden="1">[20]CE!#REF!</definedName>
    <definedName name="_6___123Graph_CI_II_PLF" hidden="1">[20]CE!#REF!</definedName>
    <definedName name="_61">#N/A</definedName>
    <definedName name="_62">#N/A</definedName>
    <definedName name="_71">#N/A</definedName>
    <definedName name="_72">#N/A</definedName>
    <definedName name="_8___123Graph_XI_II_PLF" localSheetId="8" hidden="1">[20]CE!#REF!</definedName>
    <definedName name="_8___123Graph_XI_II_PLF" localSheetId="36" hidden="1">[20]CE!#REF!</definedName>
    <definedName name="_8___123Graph_XI_II_PLF" localSheetId="37" hidden="1">[20]CE!#REF!</definedName>
    <definedName name="_8___123Graph_XI_II_PLF" hidden="1">[20]CE!#REF!</definedName>
    <definedName name="_9__123Graph_AI_II_PLF" localSheetId="36" hidden="1">[22]CE!#REF!</definedName>
    <definedName name="_9__123Graph_AI_II_PLF" localSheetId="37" hidden="1">[22]CE!#REF!</definedName>
    <definedName name="_9__123Graph_AI_II_PLF" hidden="1">[22]CE!#REF!</definedName>
    <definedName name="_a3">[17]Summary!_a3</definedName>
    <definedName name="_AOC2">#REF!</definedName>
    <definedName name="_as3">[10]BEST_17112006!$C$20</definedName>
    <definedName name="_BAS_FCOST_AFT_">'[4]Financial Estimates'!$C$321</definedName>
    <definedName name="_BBQ1">[18]!_xlbgnm.BBQ1</definedName>
    <definedName name="_BEST_GR">#REF!</definedName>
    <definedName name="_BHIV_AUX">#REF!</definedName>
    <definedName name="_BHIV_HT_RT">#REF!</definedName>
    <definedName name="_BSES22_GR">#REF!</definedName>
    <definedName name="_BSES220_GR">#REF!</definedName>
    <definedName name="_C">#REF!</definedName>
    <definedName name="_CO1">#REF!</definedName>
    <definedName name="_COAL_CAL_VAL_">'[4]Financial Estimates'!$C$324</definedName>
    <definedName name="_D___GOTO_GK112" localSheetId="8">#REF!</definedName>
    <definedName name="_D___GOTO_GK112">#REF!</definedName>
    <definedName name="_D___GOTO_GK56_" localSheetId="8">#REF!</definedName>
    <definedName name="_D___GOTO_GK56_">#REF!</definedName>
    <definedName name="_D__D___L___GOT" localSheetId="8">#REF!</definedName>
    <definedName name="_D__D___L___GOT">#REF!</definedName>
    <definedName name="_D__D__D___D__D" localSheetId="8">#REF!</definedName>
    <definedName name="_D__D__D___D__D">#REF!</definedName>
    <definedName name="_D_19__U_19_" localSheetId="8">#REF!</definedName>
    <definedName name="_D_19__U_19_">#REF!</definedName>
    <definedName name="_D87840">#REF!</definedName>
    <definedName name="_DAT1">#REF!</definedName>
    <definedName name="_DAT10">#REF!</definedName>
    <definedName name="_DAT11">#REF!</definedName>
    <definedName name="_DAT12" localSheetId="8">'[7]ins spares'!#REF!</definedName>
    <definedName name="_DAT12">'[7]ins spares'!#REF!</definedName>
    <definedName name="_DAT13" localSheetId="8">'[7]ins spares'!#REF!</definedName>
    <definedName name="_DAT13">'[7]ins spares'!#REF!</definedName>
    <definedName name="_DAT15" localSheetId="8">'[7]ins spares'!#REF!</definedName>
    <definedName name="_DAT15">'[7]ins spares'!#REF!</definedName>
    <definedName name="_DAT16" localSheetId="8">'[7]ins spares'!#REF!</definedName>
    <definedName name="_DAT16">'[7]ins spares'!#REF!</definedName>
    <definedName name="_DAT18">'[7]ins spares'!#REF!</definedName>
    <definedName name="_DAT19">'[7]ins spares'!#REF!</definedName>
    <definedName name="_DAT2">#REF!</definedName>
    <definedName name="_DAT20">'[7]ins spares'!#REF!</definedName>
    <definedName name="_DAT21">'[7]ins spares'!#REF!</definedName>
    <definedName name="_DAT22">'[7]ins spares'!#REF!</definedName>
    <definedName name="_DAT23">'[7]ins spares'!#REF!</definedName>
    <definedName name="_DAT24">'[7]ins spares'!#REF!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DD2">#N/A</definedName>
    <definedName name="_DDD3">#N/A</definedName>
    <definedName name="_DDD4">#N/A</definedName>
    <definedName name="_DDD5">#N/A</definedName>
    <definedName name="_DOWN_9__RIGHT_" localSheetId="8">#REF!</definedName>
    <definedName name="_DOWN_9__RIGHT_">#REF!</definedName>
    <definedName name="_ELL45">#REF!</definedName>
    <definedName name="_ELL90">#REF!</definedName>
    <definedName name="_EMP4">#N/A</definedName>
    <definedName name="_ENR_BEST_AFT_">'[4]Financial Estimates'!$C$318</definedName>
    <definedName name="_ENR_BSES_AFT_">'[4]Financial Estimates'!$C$319</definedName>
    <definedName name="_ENR_BSES220_AFT_">'[4]Financial Estimates'!$C$320</definedName>
    <definedName name="_ENR_TIR_AFT_">'[4]Financial Estimates'!$C$309</definedName>
    <definedName name="_f2">#REF!</definedName>
    <definedName name="_ffr1">#REF!</definedName>
    <definedName name="_ffr2">[11]자바라1!$O$10</definedName>
    <definedName name="_FFr98">'[11]#REF'!$F$29</definedName>
    <definedName name="_FFr99">'[11]#REF'!$G$29</definedName>
    <definedName name="_Fill" localSheetId="46" hidden="1">[23]I!#REF!</definedName>
    <definedName name="_Fill" localSheetId="53" hidden="1">#REF!</definedName>
    <definedName name="_Fill" localSheetId="4" hidden="1">#REF!</definedName>
    <definedName name="_Fill" localSheetId="5" hidden="1">#REF!</definedName>
    <definedName name="_Fill" localSheetId="7" hidden="1">#REF!</definedName>
    <definedName name="_Fill" localSheetId="8" hidden="1">#REF!</definedName>
    <definedName name="_Fill" localSheetId="51" hidden="1">#REF!</definedName>
    <definedName name="_Fill" localSheetId="36" hidden="1">#REF!</definedName>
    <definedName name="_Fill" localSheetId="37" hidden="1">#REF!</definedName>
    <definedName name="_Fill" localSheetId="10" hidden="1">#REF!</definedName>
    <definedName name="_Fill" localSheetId="18" hidden="1">#REF!</definedName>
    <definedName name="_Fill" localSheetId="23" hidden="1">#REF!</definedName>
    <definedName name="_Fill" localSheetId="24" hidden="1">#REF!</definedName>
    <definedName name="_Fill" hidden="1">#REF!</definedName>
    <definedName name="_xlnm._FilterDatabase" localSheetId="45" hidden="1">#REF!</definedName>
    <definedName name="_xlnm._FilterDatabase" localSheetId="53" hidden="1">#REF!</definedName>
    <definedName name="_xlnm._FilterDatabase" localSheetId="8" hidden="1">#REF!</definedName>
    <definedName name="_xlnm._FilterDatabase" localSheetId="51" hidden="1">#REF!</definedName>
    <definedName name="_xlnm._FilterDatabase" localSheetId="36" hidden="1">#REF!</definedName>
    <definedName name="_xlnm._FilterDatabase" localSheetId="37" hidden="1">#REF!</definedName>
    <definedName name="_xlnm._FilterDatabase" hidden="1">#REF!</definedName>
    <definedName name="_FRF2">#REF!</definedName>
    <definedName name="_FROM__R__R__08" localSheetId="8">#REF!</definedName>
    <definedName name="_FROM__R__R__08">#REF!</definedName>
    <definedName name="_FROM__R__R__16" localSheetId="8">#REF!</definedName>
    <definedName name="_FROM__R__R__16">#REF!</definedName>
    <definedName name="_G87634">#REF!</definedName>
    <definedName name="_GAS_CAL_VAL_">'[4]Financial Estimates'!$C$325</definedName>
    <definedName name="_GENERATION__R_" localSheetId="8">#REF!</definedName>
    <definedName name="_GENERATION__R_">#REF!</definedName>
    <definedName name="_GOTO_BT49__R__" localSheetId="8">#REF!</definedName>
    <definedName name="_GOTO_BT49__R__">#REF!</definedName>
    <definedName name="_GOTO_CF11__?__" localSheetId="8">#REF!</definedName>
    <definedName name="_GOTO_CF11__?__">#REF!</definedName>
    <definedName name="_GOTO_EO75__WEK" localSheetId="8">#REF!</definedName>
    <definedName name="_GOTO_EO75__WEK">#REF!</definedName>
    <definedName name="_GOTO_EP82__PEA" localSheetId="8">#REF!</definedName>
    <definedName name="_GOTO_EP82__PEA">#REF!</definedName>
    <definedName name="_GOTO_EP86__PER" localSheetId="8">#REF!</definedName>
    <definedName name="_GOTO_EP86__PER">#REF!</definedName>
    <definedName name="_GOTO_FO112__RV" localSheetId="8">#REF!</definedName>
    <definedName name="_GOTO_FO112__RV">#REF!</definedName>
    <definedName name="_GOTO_FO56__RV_" localSheetId="8">#REF!</definedName>
    <definedName name="_GOTO_FO56__RV_">#REF!</definedName>
    <definedName name="_hh1">'[24]설산1.나'!$A$8:$J$53</definedName>
    <definedName name="_hh2">[24]본사S!$B$10:$P$103</definedName>
    <definedName name="_HOME_">'[4]Financial Estimates'!#REF!</definedName>
    <definedName name="_HOME__GOTO_M14" localSheetId="8">#REF!</definedName>
    <definedName name="_HOME__GOTO_M14">#REF!</definedName>
    <definedName name="_HT_GR">#REF!</definedName>
    <definedName name="_HYDRO_AUX__">'[4]Financial Estimates'!$D$337</definedName>
    <definedName name="_K1">#REF!</definedName>
    <definedName name="_K2">#REF!</definedName>
    <definedName name="_K3">#REF!</definedName>
    <definedName name="_K5">#REF!</definedName>
    <definedName name="_K6">#REF!</definedName>
    <definedName name="_KD10">[12]현장지지물물량!$A$8:$N$196</definedName>
    <definedName name="_KD11">[12]현장지지물물량!$A$1:$IV$7</definedName>
    <definedName name="_KD12">[12]현장지지물물량!$A$8:$N$196</definedName>
    <definedName name="_KD13">[12]현장지지물물량!$A$1:$IV$7</definedName>
    <definedName name="_KD14">[13]현장지지물물량!$A$9:$N$23</definedName>
    <definedName name="_KD15">[14]현장지지물물량!$A$9:$N$23</definedName>
    <definedName name="_KD16">[14]현장지지물물량!$A$1:$IV$8</definedName>
    <definedName name="_KD18">[14]현장지지물물량!$A$9:$N$23</definedName>
    <definedName name="_KD2" localSheetId="45" hidden="1">#REF!</definedName>
    <definedName name="_KD2" localSheetId="46" hidden="1">#REF!</definedName>
    <definedName name="_KD2" localSheetId="53" hidden="1">#REF!</definedName>
    <definedName name="_KD2" localSheetId="8" hidden="1">#REF!</definedName>
    <definedName name="_KD2" localSheetId="51" hidden="1">#REF!</definedName>
    <definedName name="_KD2" localSheetId="36" hidden="1">#REF!</definedName>
    <definedName name="_KD2" localSheetId="37" hidden="1">#REF!</definedName>
    <definedName name="_KD2" hidden="1">#REF!</definedName>
    <definedName name="_KD3" localSheetId="53" hidden="1">#REF!</definedName>
    <definedName name="_KD3" localSheetId="8" hidden="1">#REF!</definedName>
    <definedName name="_KD3" localSheetId="51" hidden="1">#REF!</definedName>
    <definedName name="_KD3" localSheetId="36" hidden="1">#REF!</definedName>
    <definedName name="_KD3" localSheetId="37" hidden="1">#REF!</definedName>
    <definedName name="_KD3" hidden="1">#REF!</definedName>
    <definedName name="_KD4">[12]현장지지물물량!$A$8:$N$196</definedName>
    <definedName name="_KD5">[14]현장지지물물량!$A$1:$IV$8</definedName>
    <definedName name="_KD6">[14]현장지지물물량!$A$1:$IV$8</definedName>
    <definedName name="_KD7">[14]현장지지물물량!$A$9:$N$23</definedName>
    <definedName name="_KD8">'[15]설산1.나'!$A$8:$J$53</definedName>
    <definedName name="_KD9">[15]본사S!$B$10:$P$103</definedName>
    <definedName name="_ketan" localSheetId="8" hidden="1">'[25]Eq. Mobilization'!#REF!</definedName>
    <definedName name="_ketan" localSheetId="36" hidden="1">'[25]Eq. Mobilization'!#REF!</definedName>
    <definedName name="_ketan" localSheetId="37" hidden="1">'[25]Eq. Mobilization'!#REF!</definedName>
    <definedName name="_ketan" hidden="1">'[25]Eq. Mobilization'!#REF!</definedName>
    <definedName name="_Key1" localSheetId="45" hidden="1">#REF!</definedName>
    <definedName name="_Key1" localSheetId="46" hidden="1">#REF!</definedName>
    <definedName name="_Key1" localSheetId="53" hidden="1">#REF!</definedName>
    <definedName name="_Key1" localSheetId="8" hidden="1">#REF!</definedName>
    <definedName name="_Key1" localSheetId="51" hidden="1">#REF!</definedName>
    <definedName name="_Key1" localSheetId="36" hidden="1">#REF!</definedName>
    <definedName name="_Key1" localSheetId="37" hidden="1">#REF!</definedName>
    <definedName name="_Key1" hidden="1">#REF!</definedName>
    <definedName name="_Key2" localSheetId="53" hidden="1">#REF!</definedName>
    <definedName name="_Key2" localSheetId="8" hidden="1">#REF!</definedName>
    <definedName name="_Key2" localSheetId="51" hidden="1">#REF!</definedName>
    <definedName name="_Key2" localSheetId="36" hidden="1">#REF!</definedName>
    <definedName name="_Key2" localSheetId="37" hidden="1">#REF!</definedName>
    <definedName name="_Key2" hidden="1">#REF!</definedName>
    <definedName name="_KK1" localSheetId="53" hidden="1">#REF!</definedName>
    <definedName name="_KK1" localSheetId="8" hidden="1">#REF!</definedName>
    <definedName name="_KK1" localSheetId="51" hidden="1">#REF!</definedName>
    <definedName name="_KK1" localSheetId="36" hidden="1">#REF!</definedName>
    <definedName name="_KK1" localSheetId="37" hidden="1">#REF!</definedName>
    <definedName name="_KK1" hidden="1">#REF!</definedName>
    <definedName name="_KK2" localSheetId="53" hidden="1">#REF!</definedName>
    <definedName name="_KK2" localSheetId="8" hidden="1">#REF!</definedName>
    <definedName name="_KK2" localSheetId="51" hidden="1">#REF!</definedName>
    <definedName name="_KK2" localSheetId="36" hidden="1">#REF!</definedName>
    <definedName name="_KK2" localSheetId="37" hidden="1">#REF!</definedName>
    <definedName name="_KK2" hidden="1">#REF!</definedName>
    <definedName name="_KK3" localSheetId="53" hidden="1">#REF!</definedName>
    <definedName name="_KK3" localSheetId="8" hidden="1">#REF!</definedName>
    <definedName name="_KK3" localSheetId="51" hidden="1">#REF!</definedName>
    <definedName name="_KK3" localSheetId="36" hidden="1">#REF!</definedName>
    <definedName name="_KK3" localSheetId="37" hidden="1">#REF!</definedName>
    <definedName name="_KK3" hidden="1">#REF!</definedName>
    <definedName name="_LL1">#REF!</definedName>
    <definedName name="_LL2">#REF!</definedName>
    <definedName name="_LL3">#REF!</definedName>
    <definedName name="_LL4">#REF!</definedName>
    <definedName name="_LL5">#REF!</definedName>
    <definedName name="_LSHS_CAL_VAL_">'[4]Financial Estimates'!$C$326</definedName>
    <definedName name="_LT1P_GR">#REF!</definedName>
    <definedName name="_LT2P_GR">#REF!</definedName>
    <definedName name="_MDR_BEST_AFT_">'[4]Financial Estimates'!$C$304</definedName>
    <definedName name="_MDR_BSES_AFT_">'[4]Financial Estimates'!$C$305</definedName>
    <definedName name="_MDR_TIR_AFT_">'[4]Financial Estimates'!$C$298</definedName>
    <definedName name="_MPR1">#N/A</definedName>
    <definedName name="_MPR2">#N/A</definedName>
    <definedName name="_MPR3">#N/A</definedName>
    <definedName name="_nh1">'[16]Fixed Charge'!#REF!</definedName>
    <definedName name="_nis3" localSheetId="45" hidden="1">#REF!</definedName>
    <definedName name="_nis3" localSheetId="46" hidden="1">#REF!</definedName>
    <definedName name="_nis3" localSheetId="53" hidden="1">#REF!</definedName>
    <definedName name="_nis3" localSheetId="8" hidden="1">#REF!</definedName>
    <definedName name="_nis3" localSheetId="51" hidden="1">#REF!</definedName>
    <definedName name="_nis3" localSheetId="36" hidden="1">#REF!</definedName>
    <definedName name="_nis3" localSheetId="37" hidden="1">#REF!</definedName>
    <definedName name="_nis3" hidden="1">#REF!</definedName>
    <definedName name="_Order1" hidden="1">255</definedName>
    <definedName name="_Order2" hidden="1">255</definedName>
    <definedName name="_p1">#REF!</definedName>
    <definedName name="_p2">#REF!</definedName>
    <definedName name="_P21">#REF!</definedName>
    <definedName name="_P22">#REF!</definedName>
    <definedName name="_p3">#REF!</definedName>
    <definedName name="_P31">#REF!</definedName>
    <definedName name="_P32">#REF!</definedName>
    <definedName name="_P33">#REF!</definedName>
    <definedName name="_P34">#REF!</definedName>
    <definedName name="_Parse_In" localSheetId="53" hidden="1">#REF!</definedName>
    <definedName name="_Parse_In" localSheetId="8" hidden="1">#REF!</definedName>
    <definedName name="_Parse_In" localSheetId="51" hidden="1">#REF!</definedName>
    <definedName name="_Parse_In" localSheetId="36" hidden="1">#REF!</definedName>
    <definedName name="_Parse_In" localSheetId="37" hidden="1">#REF!</definedName>
    <definedName name="_Parse_In" hidden="1">#REF!</definedName>
    <definedName name="_Parse_Out" localSheetId="53" hidden="1">#REF!</definedName>
    <definedName name="_Parse_Out" localSheetId="8" hidden="1">#REF!</definedName>
    <definedName name="_Parse_Out" localSheetId="51" hidden="1">#REF!</definedName>
    <definedName name="_Parse_Out" localSheetId="36" hidden="1">#REF!</definedName>
    <definedName name="_Parse_Out" localSheetId="37" hidden="1">#REF!</definedName>
    <definedName name="_Parse_Out" hidden="1">#REF!</definedName>
    <definedName name="_PC1">#REF!</definedName>
    <definedName name="_PG1">'[4]Financial Estimates'!$A$7:$B$108</definedName>
    <definedName name="_PG2">#REF!</definedName>
    <definedName name="_PG3">#REF!</definedName>
    <definedName name="_PG5">'[4]Financial Estimates'!$A$271:$D$342</definedName>
    <definedName name="_pg6">'[5]Financial Estimates'!$A$271:$D$342</definedName>
    <definedName name="_pg7">'[5]Financial Estimates'!#REF!</definedName>
    <definedName name="_PLF__R__R___ES" localSheetId="8">#REF!</definedName>
    <definedName name="_PLF__R__R___ES">#REF!</definedName>
    <definedName name="_QTY1">#N/A</definedName>
    <definedName name="_QTY2">#N/A</definedName>
    <definedName name="_QTY3">#N/A</definedName>
    <definedName name="_QTY4">#N/A</definedName>
    <definedName name="_RE100">#REF!</definedName>
    <definedName name="_RE104">#REF!</definedName>
    <definedName name="_RE112">#REF!</definedName>
    <definedName name="_RE26">#REF!</definedName>
    <definedName name="_RE28">#REF!</definedName>
    <definedName name="_RE30">#REF!</definedName>
    <definedName name="_RE32">#REF!</definedName>
    <definedName name="_RE34">#REF!</definedName>
    <definedName name="_RE36">#REF!</definedName>
    <definedName name="_RE38">#REF!</definedName>
    <definedName name="_RE40">#REF!</definedName>
    <definedName name="_RE42">#REF!</definedName>
    <definedName name="_RE44">#REF!</definedName>
    <definedName name="_RE48">#REF!</definedName>
    <definedName name="_RE52">#REF!</definedName>
    <definedName name="_RE56">#REF!</definedName>
    <definedName name="_RE60">#REF!</definedName>
    <definedName name="_RE64">#REF!</definedName>
    <definedName name="_RE68">#REF!</definedName>
    <definedName name="_RE72">#REF!</definedName>
    <definedName name="_RE76">#REF!</definedName>
    <definedName name="_RE80">#REF!</definedName>
    <definedName name="_RE88">#REF!</definedName>
    <definedName name="_RE92">#REF!</definedName>
    <definedName name="_RE96">#REF!</definedName>
    <definedName name="_Regression_Int" hidden="1">1</definedName>
    <definedName name="_RES_GR">#REF!</definedName>
    <definedName name="_RLY_GR">#REF!</definedName>
    <definedName name="_RMK1">#N/A</definedName>
    <definedName name="_RMK2">#N/A</definedName>
    <definedName name="_RR11">#REF!</definedName>
    <definedName name="_RR12">#REF!</definedName>
    <definedName name="_RR13">#REF!</definedName>
    <definedName name="_RR14">#REF!</definedName>
    <definedName name="_RR15">#REF!</definedName>
    <definedName name="_RV_DOWN_6__LEF" localSheetId="8">#REF!</definedName>
    <definedName name="_RV_DOWN_6__LEF">#REF!</definedName>
    <definedName name="_SCH6" localSheetId="8">'[9]04REL'!#REF!</definedName>
    <definedName name="_SCH6">'[9]04REL'!#REF!</definedName>
    <definedName name="_Sort" localSheetId="45" hidden="1">#REF!</definedName>
    <definedName name="_Sort" localSheetId="46" hidden="1">#REF!</definedName>
    <definedName name="_Sort" localSheetId="53" hidden="1">#REF!</definedName>
    <definedName name="_Sort" localSheetId="8" hidden="1">#REF!</definedName>
    <definedName name="_Sort" localSheetId="51" hidden="1">#REF!</definedName>
    <definedName name="_Sort" localSheetId="36" hidden="1">#REF!</definedName>
    <definedName name="_Sort" localSheetId="37" hidden="1">#REF!</definedName>
    <definedName name="_Sort" hidden="1">#REF!</definedName>
    <definedName name="_SSS1">#REF!</definedName>
    <definedName name="_SSS2">[19]현장지지물물량!$A$9:$N$23</definedName>
    <definedName name="_SUM_DI14..DI21" localSheetId="8">#REF!</definedName>
    <definedName name="_SUM_DI14..DI21">#REF!</definedName>
    <definedName name="_SUM_DI22..DI29" localSheetId="8">#REF!</definedName>
    <definedName name="_SUM_DI22..DI29">#REF!</definedName>
    <definedName name="_T_D_LOSS__">'[4]Financial Estimates'!$C$342</definedName>
    <definedName name="_TAXBL_SLS__">'[4]Financial Estimates'!$C$339</definedName>
    <definedName name="_TOS_RATE_">'[4]Financial Estimates'!$C$340</definedName>
    <definedName name="_TST_GR">#REF!</definedName>
    <definedName name="_TXT_GR">#REF!</definedName>
    <definedName name="_U__END__U__D__" localSheetId="8">#REF!</definedName>
    <definedName name="_U__END__U__D__">#REF!</definedName>
    <definedName name="_U__U__END__U__" localSheetId="8">#REF!</definedName>
    <definedName name="_U__U__END__U__">#REF!</definedName>
    <definedName name="_U__U__U__U__U_" localSheetId="8">#REF!</definedName>
    <definedName name="_U__U__U__U__U_">#REF!</definedName>
    <definedName name="_U_4_AUX__">'[4]Financial Estimates'!$D$332</definedName>
    <definedName name="_U_4_HT_RT_">'[4]Financial Estimates'!$C$332</definedName>
    <definedName name="_U_5_AUX__">'[4]Financial Estimates'!$D$333</definedName>
    <definedName name="_U_5_HT_RT_">'[4]Financial Estimates'!$C$333</definedName>
    <definedName name="_U_6_AUX__">'[4]Financial Estimates'!$D$334</definedName>
    <definedName name="_U_6_HT_RT_">'[4]Financial Estimates'!$C$334</definedName>
    <definedName name="_U_7CCPP_AUX__">'[4]Financial Estimates'!$D$336</definedName>
    <definedName name="_U_7CCPP_HT_RT_">'[4]Financial Estimates'!$C$336</definedName>
    <definedName name="_U_7GT_AUX__">'[4]Financial Estimates'!$D$335</definedName>
    <definedName name="_U_7GT_HT_RT_">'[4]Financial Estimates'!$C$335</definedName>
    <definedName name="_USD1">'[11]#REF'!$E$26</definedName>
    <definedName name="_USD2">'[11]#REF'!$F$26</definedName>
    <definedName name="_USD3">'[11]#REF'!$G$26</definedName>
    <definedName name="_w123" localSheetId="45" hidden="1">{"Edition",#N/A,FALSE,"Data"}</definedName>
    <definedName name="_w123" localSheetId="46" hidden="1">{"Edition",#N/A,FALSE,"Data"}</definedName>
    <definedName name="_w123" localSheetId="53" hidden="1">{"Edition",#N/A,FALSE,"Data"}</definedName>
    <definedName name="_w123" localSheetId="8" hidden="1">{"Edition",#N/A,FALSE,"Data"}</definedName>
    <definedName name="_w123" localSheetId="20" hidden="1">{"Edition",#N/A,FALSE,"Data"}</definedName>
    <definedName name="_w123" hidden="1">{"Edition",#N/A,FALSE,"Data"}</definedName>
    <definedName name="_WGPD_GOTO_CO10" localSheetId="8">#REF!</definedName>
    <definedName name="_WGPD_GOTO_CO10">#REF!</definedName>
    <definedName name="_za1">#REF!</definedName>
    <definedName name="_za2">#REF!</definedName>
    <definedName name="_zz1">#REF!</definedName>
    <definedName name="A">#REF!</definedName>
    <definedName name="A.C._ES_TA" localSheetId="8">#REF!</definedName>
    <definedName name="A.C._ES_TA">#REF!</definedName>
    <definedName name="A.C._ES_TD" localSheetId="8">#REF!</definedName>
    <definedName name="A.C._ES_TD">#REF!</definedName>
    <definedName name="A￢_·¹_AO">#N/A</definedName>
    <definedName name="A1_">#N/A</definedName>
    <definedName name="A10_">#N/A</definedName>
    <definedName name="A11_">#N/A</definedName>
    <definedName name="A12_">#N/A</definedName>
    <definedName name="A2_">#N/A</definedName>
    <definedName name="A3_">#N/A</definedName>
    <definedName name="A4_">#N/A</definedName>
    <definedName name="A5_">#N/A</definedName>
    <definedName name="A6_">#N/A</definedName>
    <definedName name="A7_">#N/A</definedName>
    <definedName name="A8_">#N/A</definedName>
    <definedName name="A9_">#N/A</definedName>
    <definedName name="AA">[26]현장지지물물량!$A$8:$N$196</definedName>
    <definedName name="AAA" localSheetId="45" hidden="1">#REF!</definedName>
    <definedName name="AAA" localSheetId="46" hidden="1">#REF!</definedName>
    <definedName name="AAA" localSheetId="53" hidden="1">#REF!</definedName>
    <definedName name="AAA" localSheetId="8" hidden="1">#REF!</definedName>
    <definedName name="AAA" localSheetId="51" hidden="1">#REF!</definedName>
    <definedName name="AAA" localSheetId="36" hidden="1">#REF!</definedName>
    <definedName name="AAA" localSheetId="37" hidden="1">#REF!</definedName>
    <definedName name="AAA" hidden="1">#REF!</definedName>
    <definedName name="aaaaaaa333333">[10]Notes!$A$61</definedName>
    <definedName name="aaaaaaaaaaaa">[10]Notes!$A$8</definedName>
    <definedName name="aæÐRIiÞA_Iª">#N/A</definedName>
    <definedName name="ABC" localSheetId="45" hidden="1">'[25]Eq. Mobilization'!#REF!</definedName>
    <definedName name="ABC" localSheetId="53" hidden="1">'[27]Eq. Mobilization'!#REF!</definedName>
    <definedName name="ABC" localSheetId="8" hidden="1">'[27]Eq. Mobilization'!#REF!</definedName>
    <definedName name="ABC" localSheetId="51" hidden="1">'[28]Eq. Mobilization'!#REF!</definedName>
    <definedName name="ABC" localSheetId="36" hidden="1">'[28]Eq. Mobilization'!#REF!</definedName>
    <definedName name="ABC" localSheetId="37" hidden="1">'[28]Eq. Mobilization'!#REF!</definedName>
    <definedName name="ABC" hidden="1">'[28]Eq. Mobilization'!#REF!</definedName>
    <definedName name="ABILDQTY">#N/A</definedName>
    <definedName name="ABILDQTYNU">#N/A</definedName>
    <definedName name="ABILDTWT">#N/A</definedName>
    <definedName name="ABILDTWTNU">#N/A</definedName>
    <definedName name="Access_Button" hidden="1">"PJTFINAL_F02F11_List"</definedName>
    <definedName name="AccessDatabase" hidden="1">"C:\jhp2\JHP\AES\PJTFINAL.mdb"</definedName>
    <definedName name="achscs" localSheetId="8">#REF!</definedName>
    <definedName name="achscs">#REF!</definedName>
    <definedName name="ADD_IN_VERSION">#REF!</definedName>
    <definedName name="ADITION" localSheetId="45" hidden="1">{"'장비'!$A$3:$M$12"}</definedName>
    <definedName name="ADITION" localSheetId="46" hidden="1">{"'장비'!$A$3:$M$12"}</definedName>
    <definedName name="ADITION" localSheetId="53" hidden="1">{"'장비'!$A$3:$M$12"}</definedName>
    <definedName name="ADITION" localSheetId="8" hidden="1">{"'장비'!$A$3:$M$12"}</definedName>
    <definedName name="ADITION" localSheetId="20" hidden="1">{"'장비'!$A$3:$M$12"}</definedName>
    <definedName name="ADITION" hidden="1">{"'장비'!$A$3:$M$12"}</definedName>
    <definedName name="ADL.63">[29]Addl.40!$A$38:$I$284</definedName>
    <definedName name="afaer">[10]BEST_17112006!$A$541</definedName>
    <definedName name="afasfasf" localSheetId="8">#REF!</definedName>
    <definedName name="afasfasf">#REF!</definedName>
    <definedName name="afava">[10]BEST_17112006!$A$493</definedName>
    <definedName name="afshgafh">'[10]B_S Group'!$H$120</definedName>
    <definedName name="agdump">#REF!</definedName>
    <definedName name="agedump">#REF!</definedName>
    <definedName name="agencydump">#REF!</definedName>
    <definedName name="AGENCYLY">#REF!</definedName>
    <definedName name="AGENCYPLAN">#REF!</definedName>
    <definedName name="ahefh" localSheetId="8">[10]BEST_17112006!#REF!</definedName>
    <definedName name="ahefh">[10]BEST_17112006!#REF!</definedName>
    <definedName name="ahjsdhjkdh" localSheetId="8">#REF!</definedName>
    <definedName name="ahjsdhjkdh">#REF!</definedName>
    <definedName name="AIR">'[11]#REF'!$E$27</definedName>
    <definedName name="air_trap">#REF!</definedName>
    <definedName name="All_Item">#REF!</definedName>
    <definedName name="ALLOCATION">#REF!</definedName>
    <definedName name="ALLOWANCE">#N/A</definedName>
    <definedName name="ALLTO">'[11]해외 연수비용 계산-삭제'!#REF!</definedName>
    <definedName name="ALOCHDG">#REF!</definedName>
    <definedName name="AMAKEQTY">#N/A</definedName>
    <definedName name="AMAKEQTYNU">#N/A</definedName>
    <definedName name="AMAKETWT">#N/A</definedName>
    <definedName name="AMAKETWTNU">#N/A</definedName>
    <definedName name="angle">#REF!</definedName>
    <definedName name="ANNEXURE__A" localSheetId="8">#REF!</definedName>
    <definedName name="ANNEXURE__A">#REF!</definedName>
    <definedName name="ANNEXURE__B.Sch" localSheetId="8">#REF!</definedName>
    <definedName name="ANNEXURE__B.Sch">#REF!</definedName>
    <definedName name="ANNEXURE_A." localSheetId="8">#REF!</definedName>
    <definedName name="ANNEXURE_A.">#REF!</definedName>
    <definedName name="aq">[10]Notes!$A$43</definedName>
    <definedName name="area">[30]MixBed!#REF!</definedName>
    <definedName name="area1">[30]MixBed!#REF!</definedName>
    <definedName name="AS2DocOpenMode" hidden="1">"AS2DocumentEdit"</definedName>
    <definedName name="asaaa" localSheetId="8">#REF!</definedName>
    <definedName name="asaaa">#REF!</definedName>
    <definedName name="asasasasasaaaaaaaa">[10]Notes!$A$21</definedName>
    <definedName name="asd">#REF!</definedName>
    <definedName name="asdyrgy">'[10]B_S Group'!$H$434</definedName>
    <definedName name="ASO_CODE">'[31]ITEM-LIST'!#REF!</definedName>
    <definedName name="ass">[10]Notes!$A$17</definedName>
    <definedName name="asstwice">[10]Notes!$A$19</definedName>
    <definedName name="ASSUMPTIONS">'[4]Financial Estimates'!$A$271:$D$342</definedName>
    <definedName name="atyfafa" localSheetId="8">#REF!</definedName>
    <definedName name="atyfafa">#REF!</definedName>
    <definedName name="AuBhu0910">[32]Assumption_PwC!$D$7</definedName>
    <definedName name="AuBhu1011">[32]Assumption_PwC!$E$7</definedName>
    <definedName name="AuCha0910">[32]Assumption_PwC!$D$8</definedName>
    <definedName name="aueri3hjf">'[10]B_S Group'!$H$31</definedName>
    <definedName name="AV" localSheetId="8">#REF!</definedName>
    <definedName name="AV">#REF!</definedName>
    <definedName name="avsrs">'[10]P&amp;L Group'!$A$90</definedName>
    <definedName name="b">[10]Notes!$A$27</definedName>
    <definedName name="B_1">#N/A</definedName>
    <definedName name="B_FLG">#REF!</definedName>
    <definedName name="back_pressure">#REF!</definedName>
    <definedName name="ball">#REF!</definedName>
    <definedName name="BAS_FCOST_BEF">#REF!</definedName>
    <definedName name="BATTERIES_ES_TA" localSheetId="8">#REF!</definedName>
    <definedName name="BATTERIES_ES_TA">#REF!</definedName>
    <definedName name="BATTERIES_ES_TD" localSheetId="8">#REF!</definedName>
    <definedName name="BATTERIES_ES_TD">#REF!</definedName>
    <definedName name="BB">#N/A</definedName>
    <definedName name="bbb">#REF!</definedName>
    <definedName name="bd">'[33]License Area'!#REF!</definedName>
    <definedName name="bdshfkdf">'[10]B_S Group'!$H$269</definedName>
    <definedName name="bgbgb" localSheetId="8">#REF!,#REF!</definedName>
    <definedName name="bgbgb">#REF!,#REF!</definedName>
    <definedName name="bhefgl">'[10]Schedule 1'!$B$2</definedName>
    <definedName name="BILDQTY">#N/A</definedName>
    <definedName name="BILDQTYNU">#N/A</definedName>
    <definedName name="BILDTWT">#N/A</definedName>
    <definedName name="BILDTWTNU">#N/A</definedName>
    <definedName name="bkd" localSheetId="45" hidden="1">{"'Sheet1'!$L$16"}</definedName>
    <definedName name="bkd" localSheetId="46" hidden="1">{"'Sheet1'!$L$16"}</definedName>
    <definedName name="bkd" localSheetId="53" hidden="1">{"'Sheet1'!$L$16"}</definedName>
    <definedName name="bkd" localSheetId="8" hidden="1">{"'Sheet1'!$L$16"}</definedName>
    <definedName name="bkd" localSheetId="20" hidden="1">{"'Sheet1'!$L$16"}</definedName>
    <definedName name="bkd" hidden="1">{"'Sheet1'!$L$16"}</definedName>
    <definedName name="BLOCK02">#REF!</definedName>
    <definedName name="BLOCK03">#REF!</definedName>
    <definedName name="BLR_COMP">#REF!</definedName>
    <definedName name="BLR_COMP1">#REF!</definedName>
    <definedName name="BLR_TYPE">#REF!</definedName>
    <definedName name="bm" localSheetId="45" hidden="1">{"'Sheet1'!$L$16"}</definedName>
    <definedName name="bm" localSheetId="46" hidden="1">{"'Sheet1'!$L$16"}</definedName>
    <definedName name="bm" localSheetId="53" hidden="1">{"'Sheet1'!$L$16"}</definedName>
    <definedName name="bm" localSheetId="8" hidden="1">{"'Sheet1'!$L$16"}</definedName>
    <definedName name="bm" localSheetId="20" hidden="1">{"'Sheet1'!$L$16"}</definedName>
    <definedName name="bm" hidden="1">{"'Sheet1'!$L$16"}</definedName>
    <definedName name="bn" localSheetId="45" hidden="1">{"'Sheet1'!$L$16"}</definedName>
    <definedName name="bn" localSheetId="46" hidden="1">{"'Sheet1'!$L$16"}</definedName>
    <definedName name="bn" localSheetId="53" hidden="1">{"'Sheet1'!$L$16"}</definedName>
    <definedName name="bn" localSheetId="8" hidden="1">{"'Sheet1'!$L$16"}</definedName>
    <definedName name="bn" localSheetId="20" hidden="1">{"'Sheet1'!$L$16"}</definedName>
    <definedName name="bn" hidden="1">{"'Sheet1'!$L$16"}</definedName>
    <definedName name="BOLT">#REF!</definedName>
    <definedName name="BOSS">#REF!</definedName>
    <definedName name="bsdfhkd">'[10]B_S Group'!$H$277</definedName>
    <definedName name="bshfdgdf">'[10]B_S Group'!$H$129</definedName>
    <definedName name="BSO_CODE">'[31]ITEM-LIST'!#REF!</definedName>
    <definedName name="BT">'[34]해외 연수비용 계산-삭제'!#REF!</definedName>
    <definedName name="BUILD_ES_TA" localSheetId="8">#REF!</definedName>
    <definedName name="BUILD_ES_TA">#REF!</definedName>
    <definedName name="BUILD_ES_TD" localSheetId="8">#REF!</definedName>
    <definedName name="BUILD_ES_TD">#REF!</definedName>
    <definedName name="BUILD_GEN_TA" localSheetId="8">#REF!</definedName>
    <definedName name="BUILD_GEN_TA">#REF!</definedName>
    <definedName name="BUILD_GEN_TD" localSheetId="8">#REF!</definedName>
    <definedName name="BUILD_GEN_TD">#REF!</definedName>
    <definedName name="BULYANGPNT">[11]!BULYANGPNT</definedName>
    <definedName name="butterfly">#REF!</definedName>
    <definedName name="C_">#REF!</definedName>
    <definedName name="C_Data_1" localSheetId="8">'[35]2000-01'!#REF!</definedName>
    <definedName name="C_Data_1">'[35]2000-01'!#REF!</definedName>
    <definedName name="C_Data_2" localSheetId="8">'[35]2000-01'!#REF!</definedName>
    <definedName name="C_Data_2">'[35]2000-01'!#REF!</definedName>
    <definedName name="ca">#REF!</definedName>
    <definedName name="CABLESMAIN_ES_TA" localSheetId="8">#REF!</definedName>
    <definedName name="CABLESMAIN_ES_TA">#REF!</definedName>
    <definedName name="CABLESMAIN_ES_TD" localSheetId="8">#REF!</definedName>
    <definedName name="CABLESMAIN_ES_TD">#REF!</definedName>
    <definedName name="Cal">#REF!</definedName>
    <definedName name="CalcAgencyPrice">#REF!</definedName>
    <definedName name="CAP">#REF!</definedName>
    <definedName name="CAPACITOR_ES_TA" localSheetId="8">#REF!</definedName>
    <definedName name="CAPACITOR_ES_TA">#REF!</definedName>
    <definedName name="CAPACITOR_ES_TD" localSheetId="8">#REF!</definedName>
    <definedName name="CAPACITOR_ES_TD">#REF!</definedName>
    <definedName name="CAPRATE" localSheetId="8">'[11]해외 연수비용 계산-삭제'!#REF!</definedName>
    <definedName name="CAPRATE">'[11]해외 연수비용 계산-삭제'!#REF!</definedName>
    <definedName name="CAPTO" localSheetId="8">'[11]해외 연수비용 계산-삭제'!#REF!</definedName>
    <definedName name="CAPTO">'[11]해외 연수비용 계산-삭제'!#REF!</definedName>
    <definedName name="cas">#REF!</definedName>
    <definedName name="Category_All">#REF!</definedName>
    <definedName name="CC">#N/A</definedName>
    <definedName name="ccc">#N/A</definedName>
    <definedName name="cefcvwds">[10]BEST_17112006!$A$504:$M$519</definedName>
    <definedName name="cefeedf" localSheetId="8">[10]BEST_17112006!#REF!</definedName>
    <definedName name="cefeedf">[10]BEST_17112006!#REF!</definedName>
    <definedName name="cefgve">[10]BEST_17112006!$A$111</definedName>
    <definedName name="cefvdwg">[10]BEST_17112006!#REF!</definedName>
    <definedName name="cers">'[36]License Area'!#REF!</definedName>
    <definedName name="cfwefcd">[10]BEST_17112006!$A$493:$M$499</definedName>
    <definedName name="CH">#REF!</definedName>
    <definedName name="check">#REF!</definedName>
    <definedName name="CHOWKIES_ES_TA" localSheetId="8">#REF!</definedName>
    <definedName name="CHOWKIES_ES_TA">#REF!</definedName>
    <definedName name="CHOWKIES_ES_TD" localSheetId="8">#REF!</definedName>
    <definedName name="CHOWKIES_ES_TD">#REF!</definedName>
    <definedName name="CLASS">#N/A</definedName>
    <definedName name="clear">[37]집계표!$D$9:$J$13,[37]집계표!$L$9:$O$13,[37]집계표!$D$15:$J$24,[37]집계표!$L$15:$O$24,[37]집계표!$D$26:$J$26,[37]집계표!$L$26:$O$26,[37]집계표!$D$46:$J$50,[37]집계표!$L$46:$O$50,[37]집계표!$L$52:$O$61,[37]집계표!$L$63:$O$63,[37]집계표!$D$63:$J$63,[37]집계표!$D$52:$J$61,[37]집계표!$D$83:$J$87,[37]집계표!$L$83:$O$87,[37]집계표!$L$89:$O$98,[37]집계표!$L$100:$O$100,[37]집계표!$D$100:$J$100,[37]집계표!$D$89:$J$98</definedName>
    <definedName name="CM10_C_RIGHT___" localSheetId="8">#REF!</definedName>
    <definedName name="CM10_C_RIGHT___">#REF!</definedName>
    <definedName name="cn" localSheetId="45" hidden="1">{"'Sheet1'!$L$16"}</definedName>
    <definedName name="cn" localSheetId="46" hidden="1">{"'Sheet1'!$L$16"}</definedName>
    <definedName name="cn" localSheetId="53" hidden="1">{"'Sheet1'!$L$16"}</definedName>
    <definedName name="cn" localSheetId="8" hidden="1">{"'Sheet1'!$L$16"}</definedName>
    <definedName name="cn" localSheetId="20" hidden="1">{"'Sheet1'!$L$16"}</definedName>
    <definedName name="cn" hidden="1">{"'Sheet1'!$L$16"}</definedName>
    <definedName name="CNO">'[11]해외 기술훈련비 (합계)'!#REF!</definedName>
    <definedName name="co">#REF!</definedName>
    <definedName name="COA_11">'[38]COA-17'!#REF!</definedName>
    <definedName name="COA_12">'[38]COA-17'!#REF!</definedName>
    <definedName name="COA_13">'[38]COA-17'!#REF!</definedName>
    <definedName name="COA_14">'[38]COA-17'!#REF!</definedName>
    <definedName name="COA_15">'[38]COA-17'!#REF!</definedName>
    <definedName name="COA_16">'[38]COA-17'!#REF!</definedName>
    <definedName name="COA_17">'[38]COA-17'!#REF!</definedName>
    <definedName name="COA_18">'[38]COA-17'!#REF!</definedName>
    <definedName name="COA_19">'[38]COA-17'!#REF!</definedName>
    <definedName name="COA_51">#REF!</definedName>
    <definedName name="COA_52">#REF!</definedName>
    <definedName name="COA_53">#REF!</definedName>
    <definedName name="COA_54">#REF!</definedName>
    <definedName name="COA_55">#REF!</definedName>
    <definedName name="COA_60">#REF!</definedName>
    <definedName name="COA_70">#REF!</definedName>
    <definedName name="COA_80">#REF!</definedName>
    <definedName name="COA_90">#REF!</definedName>
    <definedName name="COA50A">#REF!</definedName>
    <definedName name="COA50B">#REF!</definedName>
    <definedName name="CODE_TYPE">#REF!</definedName>
    <definedName name="Com" localSheetId="45" hidden="1">[20]CE!#REF!</definedName>
    <definedName name="COM">#REF!</definedName>
    <definedName name="Commission">#REF!</definedName>
    <definedName name="Comp" localSheetId="45" hidden="1">[20]CE!#REF!</definedName>
    <definedName name="COMP">#REF!</definedName>
    <definedName name="COMP_TR">#REF!</definedName>
    <definedName name="COMP_선택">#REF!</definedName>
    <definedName name="COMP_선택1">#REF!</definedName>
    <definedName name="CON">#N/A</definedName>
    <definedName name="CONCEPT">'[11]해외 연수비용 계산-삭제'!#REF!</definedName>
    <definedName name="CONSTANTS">'[4]Financial Estimates'!$A$271:$D$342</definedName>
    <definedName name="CONSUM">#REF!</definedName>
    <definedName name="CONT_NO">#N/A</definedName>
    <definedName name="COVER50">[39]CAT_5!#REF!</definedName>
    <definedName name="CP1_">#N/A</definedName>
    <definedName name="CP2_">#N/A</definedName>
    <definedName name="CP3_">'[11]해외 연수비용 계산-삭제'!#REF!</definedName>
    <definedName name="CPLG">#REF!</definedName>
    <definedName name="cprrr">'[36]License Area'!#REF!</definedName>
    <definedName name="cqwfe">[10]BEST_17112006!#REF!</definedName>
    <definedName name="CREATOR">#REF!</definedName>
    <definedName name="_xlnm.Criteria" localSheetId="8">#REF!</definedName>
    <definedName name="_xlnm.Criteria">#REF!</definedName>
    <definedName name="Criteria_MI">#REF!</definedName>
    <definedName name="CT">#N/A</definedName>
    <definedName name="CTTRV">#N/A</definedName>
    <definedName name="CUSTOM">#N/A</definedName>
    <definedName name="CV" localSheetId="8">#REF!</definedName>
    <definedName name="CV">#REF!</definedName>
    <definedName name="CV_1" localSheetId="8">'[38]C-18'!#REF!</definedName>
    <definedName name="CV_1">'[38]C-18'!#REF!</definedName>
    <definedName name="CV_11" localSheetId="8">'[38]C-18'!#REF!</definedName>
    <definedName name="CV_11">'[38]C-18'!#REF!</definedName>
    <definedName name="CV_12">'[38]C-18'!#REF!</definedName>
    <definedName name="CV_13">'[38]C-18'!#REF!</definedName>
    <definedName name="CV_14">'[38]C-18'!#REF!</definedName>
    <definedName name="CV_15">'[38]C-18'!#REF!</definedName>
    <definedName name="CV_16">'[38]C-18'!#REF!</definedName>
    <definedName name="CV_17">'[38]C-18'!#REF!</definedName>
    <definedName name="CV_19">'[38]C-18'!#REF!</definedName>
    <definedName name="CV_20">'[38]C-18'!#REF!</definedName>
    <definedName name="CV_30">'[38]C-18'!#REF!</definedName>
    <definedName name="CV_40">'[38]C-18'!#REF!</definedName>
    <definedName name="CV_50">'[38]C-18'!#REF!</definedName>
    <definedName name="CV_60">'[38]C-18'!#REF!</definedName>
    <definedName name="CV_70">'[38]C-18'!#REF!</definedName>
    <definedName name="CV_80">'[38]C-18'!#REF!</definedName>
    <definedName name="cwefcve">[10]BEST_17112006!$A$128</definedName>
    <definedName name="cwfvewrg">[10]BEST_17112006!$A$111</definedName>
    <definedName name="cwfvw">[10]BEST_17112006!$A$165</definedName>
    <definedName name="cwgfweg">'[10]P&amp;L Group'!$F$24</definedName>
    <definedName name="cwip">#REF!</definedName>
    <definedName name="cwwfvw" localSheetId="8">[10]BEST_17112006!#REF!</definedName>
    <definedName name="cwwfvw">[10]BEST_17112006!#REF!</definedName>
    <definedName name="cwwr" localSheetId="8">[10]BEST_17112006!#REF!</definedName>
    <definedName name="cwwr">[10]BEST_17112006!#REF!</definedName>
    <definedName name="CYMACHINE_GEN_TA" localSheetId="8">#REF!</definedName>
    <definedName name="CYMACHINE_GEN_TA">#REF!</definedName>
    <definedName name="CYMACHINE_GEN_TD" localSheetId="8">#REF!</definedName>
    <definedName name="CYMACHINE_GEN_TD">#REF!</definedName>
    <definedName name="D">#N/A</definedName>
    <definedName name="dadfsdf" localSheetId="8">#REF!</definedName>
    <definedName name="dadfsdf">#REF!</definedName>
    <definedName name="dafsff" localSheetId="8">#REF!</definedName>
    <definedName name="dafsff">#REF!</definedName>
    <definedName name="DAM">#N/A</definedName>
    <definedName name="DAN">#N/A</definedName>
    <definedName name="dargad" localSheetId="8">#REF!,#REF!</definedName>
    <definedName name="dargad">#REF!,#REF!</definedName>
    <definedName name="DaRWk1">#REF!</definedName>
    <definedName name="DaRWk10">#REF!</definedName>
    <definedName name="DaRWk11">#REF!</definedName>
    <definedName name="DaRWk12">#REF!</definedName>
    <definedName name="DaRWk2">#REF!</definedName>
    <definedName name="DaRWk3">#REF!</definedName>
    <definedName name="DaRWk4">#REF!</definedName>
    <definedName name="DaRWk5">#REF!</definedName>
    <definedName name="DaRWk6">#REF!</definedName>
    <definedName name="DaRWk8">#REF!</definedName>
    <definedName name="DaRwk9">#REF!</definedName>
    <definedName name="data">[40]Dailysource!$B$2:$H$169</definedName>
    <definedName name="_xlnm.Database" localSheetId="8">#REF!</definedName>
    <definedName name="_xlnm.Database">#REF!</definedName>
    <definedName name="Database_MI">#REF!</definedName>
    <definedName name="DATABASE_VERSION">#REF!</definedName>
    <definedName name="DataFilter">#N/A</definedName>
    <definedName name="DataSort">#N/A</definedName>
    <definedName name="DATA영역">[41]INPUT!$E$4:$H$11,[41]INPUT!$E$12:$E$62,[41]INPUT!$G$12:$G$62,[41]INPUT!$E$63:$E$91,[41]INPUT!$G$63:$G$91,[41]INPUT!$E$92:$H$99,[41]INPUT!$D$92:$D$99</definedName>
    <definedName name="DATE_TIME">#REF!</definedName>
    <definedName name="DaWk7">#REF!</definedName>
    <definedName name="dbrwk1">#REF!</definedName>
    <definedName name="dbrwk10">#REF!</definedName>
    <definedName name="dbrwk11">#REF!</definedName>
    <definedName name="dbrwk12">#REF!</definedName>
    <definedName name="dbrwk2">#REF!</definedName>
    <definedName name="dbrwk3">#REF!</definedName>
    <definedName name="dbrwk4">#REF!</definedName>
    <definedName name="dbrwk5">#REF!</definedName>
    <definedName name="dbrwk6">#REF!</definedName>
    <definedName name="dbrwk7">#REF!</definedName>
    <definedName name="dbrwk8">#REF!</definedName>
    <definedName name="dbrwk9">#REF!</definedName>
    <definedName name="dcrwk1">#REF!</definedName>
    <definedName name="dcrwk10">#REF!</definedName>
    <definedName name="dcrwk11">#REF!</definedName>
    <definedName name="dcrwk12">#REF!</definedName>
    <definedName name="dcrwk2">#REF!</definedName>
    <definedName name="dcrwk3">#REF!</definedName>
    <definedName name="dcrwk4">#REF!</definedName>
    <definedName name="dcrwk5">#REF!</definedName>
    <definedName name="dcrwk6">#REF!</definedName>
    <definedName name="dcrwk7">#REF!</definedName>
    <definedName name="dcrwk8">#REF!</definedName>
    <definedName name="dcrwk9">#REF!</definedName>
    <definedName name="dd">[10]Notes!$A$3</definedName>
    <definedName name="ddd">'[9]04REL'!#REF!</definedName>
    <definedName name="ddhgnekv">'[10]B_S Group'!$H$46</definedName>
    <definedName name="DEAHIRE__ES_TA" localSheetId="8">#REF!</definedName>
    <definedName name="DEAHIRE__ES_TA">#REF!</definedName>
    <definedName name="DEAHIRE_ES_TD" localSheetId="8">#REF!</definedName>
    <definedName name="DEAHIRE_ES_TD">#REF!</definedName>
    <definedName name="Debt_Pct">[42]Assumptions!$B$13</definedName>
    <definedName name="DEF" localSheetId="45" hidden="1">#REF!</definedName>
    <definedName name="DEF" localSheetId="46" hidden="1">#REF!</definedName>
    <definedName name="DEF" localSheetId="53" hidden="1">#REF!</definedName>
    <definedName name="DEF" localSheetId="8" hidden="1">#REF!</definedName>
    <definedName name="DEF" localSheetId="51" hidden="1">#REF!</definedName>
    <definedName name="DEF" localSheetId="36" hidden="1">#REF!</definedName>
    <definedName name="DEF" localSheetId="37" hidden="1">#REF!</definedName>
    <definedName name="DEF" hidden="1">#REF!</definedName>
    <definedName name="DEL_CHK">#N/A</definedName>
    <definedName name="DelDC">#REF!</definedName>
    <definedName name="DelDm">#REF!</definedName>
    <definedName name="DELI">#N/A</definedName>
    <definedName name="Delivery">#REF!</definedName>
    <definedName name="DelType">#REF!</definedName>
    <definedName name="deptLookup">#REF!</definedName>
    <definedName name="DESC">#N/A</definedName>
    <definedName name="DESCRIPT">#N/A</definedName>
    <definedName name="DF">#N/A</definedName>
    <definedName name="dfaf" localSheetId="45" hidden="1">{"'장비'!$A$3:$M$12"}</definedName>
    <definedName name="dfaf" localSheetId="46" hidden="1">{"'장비'!$A$3:$M$12"}</definedName>
    <definedName name="dfaf" localSheetId="53" hidden="1">{"'장비'!$A$3:$M$12"}</definedName>
    <definedName name="dfaf" localSheetId="8" hidden="1">{"'장비'!$A$3:$M$12"}</definedName>
    <definedName name="dfaf" localSheetId="20" hidden="1">{"'장비'!$A$3:$M$12"}</definedName>
    <definedName name="dfaf" hidden="1">{"'장비'!$A$3:$M$12"}</definedName>
    <definedName name="dfbdff">'[10]B_S Group'!$H$199</definedName>
    <definedName name="dfdfkdf">'[10]B_S Group'!$H$213</definedName>
    <definedName name="dfdhflk">'[10]B_S Group'!$H$258</definedName>
    <definedName name="dftrt" localSheetId="8">[10]BEST_17112006!#REF!</definedName>
    <definedName name="dftrt">[10]BEST_17112006!#REF!</definedName>
    <definedName name="dgxgfzdg" localSheetId="8">#REF!,#REF!</definedName>
    <definedName name="dgxgfzdg">#REF!,#REF!</definedName>
    <definedName name="diameter">#REF!</definedName>
    <definedName name="diaphragm">#REF!</definedName>
    <definedName name="disc">#REF!</definedName>
    <definedName name="dpc">'[43]dpc cost'!$D$1</definedName>
    <definedName name="DPCHDG">#REF!</definedName>
    <definedName name="DR" localSheetId="53" hidden="1">#REF!</definedName>
    <definedName name="DR" localSheetId="8" hidden="1">#REF!</definedName>
    <definedName name="DR" localSheetId="51" hidden="1">#REF!</definedName>
    <definedName name="DR" localSheetId="36" hidden="1">#REF!</definedName>
    <definedName name="DR" localSheetId="37" hidden="1">#REF!</definedName>
    <definedName name="DR" hidden="1">#REF!</definedName>
    <definedName name="drain_trap">#REF!</definedName>
    <definedName name="DRAW">#REF!</definedName>
    <definedName name="dsfdfADF" localSheetId="8">#REF!</definedName>
    <definedName name="dsfdfADF">#REF!</definedName>
    <definedName name="dual_plate_check">#REF!</definedName>
    <definedName name="dumppr">#REF!</definedName>
    <definedName name="duplex_strainer">#REF!</definedName>
    <definedName name="dw" localSheetId="45" hidden="1">{"'Sheet1'!$L$16"}</definedName>
    <definedName name="dw" localSheetId="46" hidden="1">{"'Sheet1'!$L$16"}</definedName>
    <definedName name="dw" localSheetId="53" hidden="1">{"'Sheet1'!$L$16"}</definedName>
    <definedName name="dw" localSheetId="8" hidden="1">{"'Sheet1'!$L$16"}</definedName>
    <definedName name="dw" localSheetId="20" hidden="1">{"'Sheet1'!$L$16"}</definedName>
    <definedName name="dw" hidden="1">{"'Sheet1'!$L$16"}</definedName>
    <definedName name="DWG_NO">'[11]해외 기술훈련비 (합계)'!#REF!</definedName>
    <definedName name="DWGNO">'[11]해외 기술훈련비 (합계)'!#REF!</definedName>
    <definedName name="DWG대장_DWG_대장__2__List">#REF!</definedName>
    <definedName name="DXXX">[19]현장지지물물량!$A$1:$IV$8</definedName>
    <definedName name="dxzxxx" localSheetId="8">#REF!,#REF!</definedName>
    <definedName name="dxzxxx">#REF!,#REF!</definedName>
    <definedName name="e">[10]Notes!$A$31</definedName>
    <definedName name="E_315MVA_Addl_Page1" localSheetId="8">#REF!</definedName>
    <definedName name="E_315MVA_Addl_Page1">#REF!</definedName>
    <definedName name="E_315MVA_Addl_Page2" localSheetId="8">#REF!</definedName>
    <definedName name="E_315MVA_Addl_Page2">#REF!</definedName>
    <definedName name="eCIiIiÞA_Iª">#N/A</definedName>
    <definedName name="EE">#REF!</definedName>
    <definedName name="EEE">#REF!</definedName>
    <definedName name="eeee">#N/A</definedName>
    <definedName name="efgvfdv" localSheetId="8">[10]BEST_17112006!#REF!</definedName>
    <definedName name="efgvfdv">[10]BEST_17112006!#REF!</definedName>
    <definedName name="egtdgtgxdg" localSheetId="8">#REF!</definedName>
    <definedName name="egtdgtgxdg">#REF!</definedName>
    <definedName name="ELE.EQUIP_ES_TA" localSheetId="8">#REF!</definedName>
    <definedName name="ELE.EQUIP_ES_TA">#REF!</definedName>
    <definedName name="ELEC.EQUIP_ES_TD" localSheetId="8">#REF!</definedName>
    <definedName name="ELEC.EQUIP_ES_TD">#REF!</definedName>
    <definedName name="ENR_BEST_BEF">#REF!</definedName>
    <definedName name="ENR_BSES_AFT">#REF!</definedName>
    <definedName name="ENR_BSES_BEF">#REF!</definedName>
    <definedName name="ENR_BSES220_BEF">#REF!</definedName>
    <definedName name="ENR_TIR_BEF">#REF!</definedName>
    <definedName name="EOL">#REF!</definedName>
    <definedName name="ER">[34]!GUESTPNT</definedName>
    <definedName name="Erai_level">[44]Level_qty!$B$8:$C$528</definedName>
    <definedName name="ere">#REF!</definedName>
    <definedName name="es" localSheetId="45" hidden="1">{"'Sheet1'!$L$16"}</definedName>
    <definedName name="es" localSheetId="46" hidden="1">{"'Sheet1'!$L$16"}</definedName>
    <definedName name="es" localSheetId="53" hidden="1">{"'Sheet1'!$L$16"}</definedName>
    <definedName name="es" localSheetId="8" hidden="1">{"'Sheet1'!$L$16"}</definedName>
    <definedName name="es" localSheetId="20" hidden="1">{"'Sheet1'!$L$16"}</definedName>
    <definedName name="es" hidden="1">{"'Sheet1'!$L$16"}</definedName>
    <definedName name="Esc_AGExp">[45]Assumptions!$B$4</definedName>
    <definedName name="Esc_Coal">[42]Assumptions!$B$6</definedName>
    <definedName name="Esc_DomGas">[42]Assumptions!$B$8</definedName>
    <definedName name="Esc_EmpExp">[42]Assumptions!$B$3</definedName>
    <definedName name="Esc_LNGas">[42]Assumptions!$B$9</definedName>
    <definedName name="Esc_Oil">[42]Assumptions!$B$7</definedName>
    <definedName name="Esc_OtherVarCharge">[42]Assumptions!$B$10</definedName>
    <definedName name="Esc_RMExp">[45]Assumptions!$B$5</definedName>
    <definedName name="EscAGExp" localSheetId="8">#REF!</definedName>
    <definedName name="EscAGExp">#REF!</definedName>
    <definedName name="EscCoal" localSheetId="8">#REF!</definedName>
    <definedName name="EscCoal">#REF!</definedName>
    <definedName name="EscDomGas" localSheetId="8">#REF!</definedName>
    <definedName name="EscDomGas">#REF!</definedName>
    <definedName name="EscEmpExp" localSheetId="8">#REF!</definedName>
    <definedName name="EscEmpExp">#REF!</definedName>
    <definedName name="EscLNGas" localSheetId="8">#REF!</definedName>
    <definedName name="EscLNGas">#REF!</definedName>
    <definedName name="EscOil" localSheetId="8">#REF!</definedName>
    <definedName name="EscOil">#REF!</definedName>
    <definedName name="EscOtherIncome" localSheetId="8">#REF!</definedName>
    <definedName name="EscOtherIncome">#REF!</definedName>
    <definedName name="EscOtherVarCharge" localSheetId="8">#REF!</definedName>
    <definedName name="EscOtherVarCharge">#REF!</definedName>
    <definedName name="EscRMExp" localSheetId="8">#REF!</definedName>
    <definedName name="EscRMExp">#REF!</definedName>
    <definedName name="ese">[10]BEST_17112006!$C$20</definedName>
    <definedName name="et" localSheetId="45" hidden="1">{"'Sheet1'!$L$16"}</definedName>
    <definedName name="et" localSheetId="46" hidden="1">{"'Sheet1'!$L$16"}</definedName>
    <definedName name="et" localSheetId="53" hidden="1">{"'Sheet1'!$L$16"}</definedName>
    <definedName name="et" localSheetId="8" hidden="1">{"'Sheet1'!$L$16"}</definedName>
    <definedName name="et" localSheetId="20" hidden="1">{"'Sheet1'!$L$16"}</definedName>
    <definedName name="et" hidden="1">{"'Sheet1'!$L$16"}</definedName>
    <definedName name="EW">[34]!RTPNT</definedName>
    <definedName name="ewrefc">[10]BEST_17112006!$A$381</definedName>
    <definedName name="ex_joint">#REF!</definedName>
    <definedName name="Excel_BuiltIn_Print_Area_10" localSheetId="8">#REF!</definedName>
    <definedName name="Excel_BuiltIn_Print_Area_10">#REF!</definedName>
    <definedName name="Excel_BuiltIn_Print_Area_11" localSheetId="8">#REF!</definedName>
    <definedName name="Excel_BuiltIn_Print_Area_11">#REF!</definedName>
    <definedName name="Excel_BuiltIn_Print_Area_12" localSheetId="8">#REF!</definedName>
    <definedName name="Excel_BuiltIn_Print_Area_12">#REF!</definedName>
    <definedName name="Excel_BuiltIn_Print_Area_15" localSheetId="8">#REF!</definedName>
    <definedName name="Excel_BuiltIn_Print_Area_15">#REF!</definedName>
    <definedName name="Excel_BuiltIn_Print_Area_3" localSheetId="8">#REF!</definedName>
    <definedName name="Excel_BuiltIn_Print_Area_3">#REF!</definedName>
    <definedName name="Excel_BuiltIn_Print_Area_4" localSheetId="8">#REF!</definedName>
    <definedName name="Excel_BuiltIn_Print_Area_4">#REF!</definedName>
    <definedName name="Excel_BuiltIn_Print_Area_5" localSheetId="8">[46]Sheet14!#REF!</definedName>
    <definedName name="Excel_BuiltIn_Print_Area_5">[46]Sheet14!#REF!</definedName>
    <definedName name="Excel_BuiltIn_Print_Area_7" localSheetId="8">#REF!</definedName>
    <definedName name="Excel_BuiltIn_Print_Area_7">#REF!</definedName>
    <definedName name="Excel_BuiltIn_Print_Area_8" localSheetId="8">#REF!</definedName>
    <definedName name="Excel_BuiltIn_Print_Area_8">#REF!</definedName>
    <definedName name="Excel_BuiltIn_Print_Area_9" localSheetId="8">#REF!</definedName>
    <definedName name="Excel_BuiltIn_Print_Area_9">#REF!</definedName>
    <definedName name="EXTEN">#REF!</definedName>
    <definedName name="_xlnm.Extract" localSheetId="8">#REF!</definedName>
    <definedName name="_xlnm.Extract">#REF!</definedName>
    <definedName name="Extract_MI">#REF!</definedName>
    <definedName name="f">[10]Notes!$A$33</definedName>
    <definedName name="FAX" localSheetId="8">#REF!</definedName>
    <definedName name="FAX">#REF!</definedName>
    <definedName name="fcwge">'[10]B_S Group'!$H$15</definedName>
    <definedName name="fd" localSheetId="45" hidden="1">{"'Sheet1'!$L$16"}</definedName>
    <definedName name="fd" localSheetId="46" hidden="1">{"'Sheet1'!$L$16"}</definedName>
    <definedName name="fd" localSheetId="53" hidden="1">{"'Sheet1'!$L$16"}</definedName>
    <definedName name="fd" localSheetId="8" hidden="1">{"'Sheet1'!$L$16"}</definedName>
    <definedName name="fd" localSheetId="20" hidden="1">{"'Sheet1'!$L$16"}</definedName>
    <definedName name="fd" hidden="1">{"'Sheet1'!$L$16"}</definedName>
    <definedName name="fdgk" localSheetId="45" hidden="1">{"'Sheet1'!$L$16"}</definedName>
    <definedName name="fdgk" localSheetId="46" hidden="1">{"'Sheet1'!$L$16"}</definedName>
    <definedName name="fdgk" localSheetId="53" hidden="1">{"'Sheet1'!$L$16"}</definedName>
    <definedName name="fdgk" localSheetId="8" hidden="1">{"'Sheet1'!$L$16"}</definedName>
    <definedName name="fdgk" localSheetId="20" hidden="1">{"'Sheet1'!$L$16"}</definedName>
    <definedName name="fdgk" hidden="1">{"'Sheet1'!$L$16"}</definedName>
    <definedName name="fdxfds" localSheetId="8">#REF!</definedName>
    <definedName name="fdxfds">#REF!</definedName>
    <definedName name="fe" localSheetId="45" hidden="1">{"'Sheet1'!$L$16"}</definedName>
    <definedName name="fe" localSheetId="46" hidden="1">{"'Sheet1'!$L$16"}</definedName>
    <definedName name="fe" localSheetId="53" hidden="1">{"'Sheet1'!$L$16"}</definedName>
    <definedName name="fe" localSheetId="8" hidden="1">{"'Sheet1'!$L$16"}</definedName>
    <definedName name="fe" localSheetId="20" hidden="1">{"'Sheet1'!$L$16"}</definedName>
    <definedName name="fe" hidden="1">{"'Sheet1'!$L$16"}</definedName>
    <definedName name="fefcdf">[10]BEST_17112006!$B$503:$M$504</definedName>
    <definedName name="feftgvrg">[10]BEST_17112006!$A$428</definedName>
    <definedName name="ferdwer" localSheetId="45" hidden="1">#REF!</definedName>
    <definedName name="ferdwer" localSheetId="46" hidden="1">#REF!</definedName>
    <definedName name="ferdwer" localSheetId="53" hidden="1">#REF!</definedName>
    <definedName name="ferdwer" localSheetId="8" hidden="1">#REF!</definedName>
    <definedName name="ferdwer" localSheetId="51" hidden="1">#REF!</definedName>
    <definedName name="ferdwer" localSheetId="36" hidden="1">#REF!</definedName>
    <definedName name="ferdwer" localSheetId="37" hidden="1">#REF!</definedName>
    <definedName name="ferdwer" hidden="1">#REF!</definedName>
    <definedName name="fertgfr">[10]BEST_17112006!$A$391</definedName>
    <definedName name="ff">#REF!</definedName>
    <definedName name="FFF">'[47]MOB-MAN1'!$D$40:$BW$49</definedName>
    <definedName name="FFr">'[11]#REF'!$H$24</definedName>
    <definedName name="FFr00">'[11]#REF'!$H$29</definedName>
    <definedName name="fgdgchjgd" localSheetId="8">#REF!</definedName>
    <definedName name="fgdgchjgd">#REF!</definedName>
    <definedName name="fgsdfds">'[10]B_S Group'!$H$23</definedName>
    <definedName name="FinCharge">[42]Assumptions!$B$25</definedName>
    <definedName name="FITTING">#N/A</definedName>
    <definedName name="Fixed_Asset_BS" localSheetId="8">#REF!</definedName>
    <definedName name="Fixed_Asset_BS">#REF!</definedName>
    <definedName name="Fixed_Assets" localSheetId="8">#REF!</definedName>
    <definedName name="Fixed_Assets">#REF!</definedName>
    <definedName name="Fixed_Assets_Schedule" localSheetId="8">#REF!</definedName>
    <definedName name="Fixed_Assets_Schedule">#REF!</definedName>
    <definedName name="FLG">#REF!</definedName>
    <definedName name="FLG_Orifice">#REF!</definedName>
    <definedName name="FN3.1" localSheetId="8" hidden="1">[20]CE!#REF!</definedName>
    <definedName name="FN3.1" localSheetId="36" hidden="1">[20]CE!#REF!</definedName>
    <definedName name="FN3.1" localSheetId="37" hidden="1">[20]CE!#REF!</definedName>
    <definedName name="FN3.1" hidden="1">[20]CE!#REF!</definedName>
    <definedName name="FR" localSheetId="8">'[34]해외 연수비용 계산-삭제'!#REF!</definedName>
    <definedName name="FR">'[34]해외 연수비용 계산-삭제'!#REF!</definedName>
    <definedName name="fs" localSheetId="45" hidden="1">{"'Sheet1'!$L$16"}</definedName>
    <definedName name="fs" localSheetId="46" hidden="1">{"'Sheet1'!$L$16"}</definedName>
    <definedName name="fs" localSheetId="53" hidden="1">{"'Sheet1'!$L$16"}</definedName>
    <definedName name="fs" localSheetId="8" hidden="1">{"'Sheet1'!$L$16"}</definedName>
    <definedName name="fs" localSheetId="20" hidden="1">{"'Sheet1'!$L$16"}</definedName>
    <definedName name="fs" hidden="1">{"'Sheet1'!$L$16"}</definedName>
    <definedName name="fsfsgfs">'[10]B_S Group'!$H$229</definedName>
    <definedName name="fssdzfzsdffzsdf" localSheetId="8">#REF!</definedName>
    <definedName name="fssdzfzsdffzsdf">#REF!</definedName>
    <definedName name="Fuel_Exp_CY" localSheetId="8">#REF!</definedName>
    <definedName name="Fuel_Exp_CY">#REF!</definedName>
    <definedName name="Fuel_Exp_EY" localSheetId="8">#REF!</definedName>
    <definedName name="Fuel_Exp_EY">#REF!</definedName>
    <definedName name="Fuel_Exp_PY" localSheetId="8">#REF!</definedName>
    <definedName name="Fuel_Exp_PY">#REF!</definedName>
    <definedName name="FUEL_TYPE">#REF!</definedName>
    <definedName name="FUELCOST">'[4]Financial Estimates'!#REF!</definedName>
    <definedName name="FULL">'[4]Financial Estimates'!$A$8:$B$342</definedName>
    <definedName name="FULL_PG1">'[4]Financial Estimates'!$A$7:$D$95</definedName>
    <definedName name="FULL_PRINT">#REF!</definedName>
    <definedName name="FULL_REPORT">#REF!</definedName>
    <definedName name="FULL2001">'[4]Financial Estimates'!$A$8:$D$342</definedName>
    <definedName name="FUND">[48]rough!$BJ$44</definedName>
    <definedName name="FURNITURE_ES_TA" localSheetId="8">#REF!</definedName>
    <definedName name="FURNITURE_ES_TA">#REF!</definedName>
    <definedName name="FURNITURE_ES_TD" localSheetId="8">#REF!</definedName>
    <definedName name="FURNITURE_ES_TD">#REF!</definedName>
    <definedName name="FURNITURE_GEN_TA" localSheetId="8">#REF!</definedName>
    <definedName name="FURNITURE_GEN_TA">#REF!</definedName>
    <definedName name="FURNITURE_GEN_TD" localSheetId="8">#REF!</definedName>
    <definedName name="FURNITURE_GEN_TD">#REF!</definedName>
    <definedName name="fweferg">[10]BEST_17112006!$A$174</definedName>
    <definedName name="fy" localSheetId="8">#REF!</definedName>
    <definedName name="fy">#REF!</definedName>
    <definedName name="g">[10]Notes!$A$35</definedName>
    <definedName name="G_P_P">#N/A</definedName>
    <definedName name="G083BAAN1">#REF!</definedName>
    <definedName name="gaga" localSheetId="8">#REF!</definedName>
    <definedName name="gaga">#REF!</definedName>
    <definedName name="gahZh" localSheetId="8">#REF!</definedName>
    <definedName name="gahZh">#REF!</definedName>
    <definedName name="gajkahuah" localSheetId="8">#REF!</definedName>
    <definedName name="gajkahuah">#REF!</definedName>
    <definedName name="gasgdskhdu" localSheetId="8">#REF!,#REF!</definedName>
    <definedName name="gasgdskhdu">#REF!,#REF!</definedName>
    <definedName name="gate">#REF!</definedName>
    <definedName name="gdgfg" localSheetId="8">#REF!,#REF!</definedName>
    <definedName name="gdgfg">#REF!,#REF!</definedName>
    <definedName name="GENERATION">'[4]Financial Estimates'!#REF!</definedName>
    <definedName name="gg">#REF!</definedName>
    <definedName name="ggg">#N/A</definedName>
    <definedName name="ghdfhfg">'[10]B_S Group'!$H$107</definedName>
    <definedName name="ghhfh" localSheetId="8">#REF!</definedName>
    <definedName name="ghhfh">#REF!</definedName>
    <definedName name="gid" localSheetId="45" hidden="1">{"'Sheet1'!$L$16"}</definedName>
    <definedName name="gid" localSheetId="46" hidden="1">{"'Sheet1'!$L$16"}</definedName>
    <definedName name="gid" localSheetId="53" hidden="1">{"'Sheet1'!$L$16"}</definedName>
    <definedName name="gid" localSheetId="8" hidden="1">{"'Sheet1'!$L$16"}</definedName>
    <definedName name="gid" localSheetId="20" hidden="1">{"'Sheet1'!$L$16"}</definedName>
    <definedName name="gid" hidden="1">{"'Sheet1'!$L$16"}</definedName>
    <definedName name="gj" localSheetId="45" hidden="1">{"'Sheet1'!$L$16"}</definedName>
    <definedName name="gj" localSheetId="46" hidden="1">{"'Sheet1'!$L$16"}</definedName>
    <definedName name="gj" localSheetId="53" hidden="1">{"'Sheet1'!$L$16"}</definedName>
    <definedName name="gj" localSheetId="8" hidden="1">{"'Sheet1'!$L$16"}</definedName>
    <definedName name="gj" localSheetId="20" hidden="1">{"'Sheet1'!$L$16"}</definedName>
    <definedName name="gj" hidden="1">{"'Sheet1'!$L$16"}</definedName>
    <definedName name="gkd" localSheetId="45" hidden="1">{"'Sheet1'!$L$16"}</definedName>
    <definedName name="gkd" localSheetId="46" hidden="1">{"'Sheet1'!$L$16"}</definedName>
    <definedName name="gkd" localSheetId="53" hidden="1">{"'Sheet1'!$L$16"}</definedName>
    <definedName name="gkd" localSheetId="8" hidden="1">{"'Sheet1'!$L$16"}</definedName>
    <definedName name="gkd" localSheetId="20" hidden="1">{"'Sheet1'!$L$16"}</definedName>
    <definedName name="gkd" hidden="1">{"'Sheet1'!$L$16"}</definedName>
    <definedName name="globe">#REF!</definedName>
    <definedName name="GoBack">#N/A</definedName>
    <definedName name="GP">#REF!</definedName>
    <definedName name="GR" localSheetId="8">#REF!</definedName>
    <definedName name="GR">#REF!</definedName>
    <definedName name="GR_NO">#N/A</definedName>
    <definedName name="GRNO">'[11]해외 기술훈련비 (합계)'!#REF!</definedName>
    <definedName name="GROUP1">#N/A</definedName>
    <definedName name="GROUP10">'[31]ITEM-LIST'!#REF!</definedName>
    <definedName name="GROUP11">'[31]ITEM-LIST'!#REF!</definedName>
    <definedName name="GROUP12">'[31]ITEM-LIST'!#REF!</definedName>
    <definedName name="GROUP13">'[31]ITEM-LIST'!#REF!</definedName>
    <definedName name="GROUP14">'[31]ITEM-LIST'!#REF!</definedName>
    <definedName name="GROUP15">'[31]ITEM-LIST'!#REF!</definedName>
    <definedName name="GROUP2">#N/A</definedName>
    <definedName name="GROUP3">#N/A</definedName>
    <definedName name="GROUP4">#N/A</definedName>
    <definedName name="GROUP5">#N/A</definedName>
    <definedName name="GROUP6">#N/A</definedName>
    <definedName name="GROUP7">#N/A</definedName>
    <definedName name="GROUP8">#N/A</definedName>
    <definedName name="GROUP9">'[31]ITEM-LIST'!#REF!</definedName>
    <definedName name="GrphActSales">#REF!</definedName>
    <definedName name="GrphActStk">#REF!</definedName>
    <definedName name="GrphPlanSales">#REF!</definedName>
    <definedName name="GrphTgtStk">#REF!</definedName>
    <definedName name="gshjgshgs" localSheetId="8">#REF!</definedName>
    <definedName name="gshjgshgs">#REF!</definedName>
    <definedName name="GT_TYPE">#REF!</definedName>
    <definedName name="GUESTPNT">[11]!GUESTPNT</definedName>
    <definedName name="gydgdg" localSheetId="8">#REF!,#REF!</definedName>
    <definedName name="gydgdg">#REF!,#REF!</definedName>
    <definedName name="h">'[49]04REL'!#REF!</definedName>
    <definedName name="H1_">#N/A</definedName>
    <definedName name="H10_">#N/A</definedName>
    <definedName name="H11_">#N/A</definedName>
    <definedName name="H12_">#N/A</definedName>
    <definedName name="H13_">#N/A</definedName>
    <definedName name="H14_">#N/A</definedName>
    <definedName name="H15_">#N/A</definedName>
    <definedName name="H16_">#N/A</definedName>
    <definedName name="H17_">#N/A</definedName>
    <definedName name="H2_">#N/A</definedName>
    <definedName name="H3_">#N/A</definedName>
    <definedName name="H4_">#N/A</definedName>
    <definedName name="H5_">#N/A</definedName>
    <definedName name="H6_">#N/A</definedName>
    <definedName name="H7_">#N/A</definedName>
    <definedName name="H8_">#N/A</definedName>
    <definedName name="H9_">#N/A</definedName>
    <definedName name="hahshuis" localSheetId="8">#REF!</definedName>
    <definedName name="hahshuis">#REF!</definedName>
    <definedName name="hasnain" localSheetId="8">#REF!</definedName>
    <definedName name="hasnain">#REF!</definedName>
    <definedName name="hdhdjh" localSheetId="8">#REF!</definedName>
    <definedName name="hdhdjh">#REF!</definedName>
    <definedName name="HEADER_KFP_ORIGIN_KEY">#REF!</definedName>
    <definedName name="HF">'[34]해외 연수비용 계산-삭제'!#REF!</definedName>
    <definedName name="hfh">[10]BEST_17112006!$C$13</definedName>
    <definedName name="hgtfhdh" localSheetId="8">'[9]04REL'!#REF!</definedName>
    <definedName name="hgtfhdh">'[9]04REL'!#REF!</definedName>
    <definedName name="HH">#N/A</definedName>
    <definedName name="hhhuh" localSheetId="8">#REF!</definedName>
    <definedName name="hhhuh">#REF!</definedName>
    <definedName name="hHzhzh" localSheetId="8">#REF!</definedName>
    <definedName name="hHzhzh">#REF!</definedName>
    <definedName name="HJ">[34]카메라!#REF!</definedName>
    <definedName name="hjergbciutybvt">'[10]B_S Group'!$H$349</definedName>
    <definedName name="HPINRCSG">#REF!</definedName>
    <definedName name="hr_u4">#REF!</definedName>
    <definedName name="hr_u5">#REF!</definedName>
    <definedName name="hr_u6">#REF!</definedName>
    <definedName name="hr_u7">#REF!</definedName>
    <definedName name="hrd" localSheetId="53" hidden="1">#REF!</definedName>
    <definedName name="hrd" localSheetId="8" hidden="1">#REF!</definedName>
    <definedName name="hrd" localSheetId="51" hidden="1">#REF!</definedName>
    <definedName name="hrd" localSheetId="36" hidden="1">#REF!</definedName>
    <definedName name="hrd" localSheetId="37" hidden="1">#REF!</definedName>
    <definedName name="hrd" hidden="1">#REF!</definedName>
    <definedName name="hsdfhfdsk">'[10]B_S Group'!$H$161</definedName>
    <definedName name="hsgtrheir">'[10]B_S Group'!$H$20</definedName>
    <definedName name="hshhxuhxu" localSheetId="8">#REF!</definedName>
    <definedName name="hshhxuhxu">#REF!</definedName>
    <definedName name="HTML" localSheetId="45" hidden="1">{"'장비'!$A$3:$M$12"}</definedName>
    <definedName name="HTML" localSheetId="46" hidden="1">{"'장비'!$A$3:$M$12"}</definedName>
    <definedName name="HTML" localSheetId="53" hidden="1">{"'장비'!$A$3:$M$12"}</definedName>
    <definedName name="HTML" localSheetId="8" hidden="1">{"'장비'!$A$3:$M$12"}</definedName>
    <definedName name="HTML" localSheetId="20" hidden="1">{"'장비'!$A$3:$M$12"}</definedName>
    <definedName name="HTML" hidden="1">{"'장비'!$A$3:$M$12"}</definedName>
    <definedName name="HTML_Control" localSheetId="45" hidden="1">{"'장비'!$A$3:$M$12"}</definedName>
    <definedName name="HTML_Control" localSheetId="46" hidden="1">{"'장비'!$A$3:$M$12"}</definedName>
    <definedName name="HTML_Control" localSheetId="53" hidden="1">{"'장비'!$A$3:$M$12"}</definedName>
    <definedName name="HTML_Control" localSheetId="8" hidden="1">{"'장비'!$A$3:$M$12"}</definedName>
    <definedName name="HTML_Control" localSheetId="20" hidden="1">{"'장비'!$A$3:$M$12"}</definedName>
    <definedName name="HTML_Control" hidden="1">{"'장비'!$A$3:$M$12"}</definedName>
    <definedName name="i">[10]Notes!$A$39</definedName>
    <definedName name="IDT">#N/A</definedName>
    <definedName name="ie" localSheetId="45" hidden="1">{"'Sheet1'!$L$16"}</definedName>
    <definedName name="ie" localSheetId="46" hidden="1">{"'Sheet1'!$L$16"}</definedName>
    <definedName name="ie" localSheetId="53" hidden="1">{"'Sheet1'!$L$16"}</definedName>
    <definedName name="ie" localSheetId="8" hidden="1">{"'Sheet1'!$L$16"}</definedName>
    <definedName name="ie" localSheetId="20" hidden="1">{"'Sheet1'!$L$16"}</definedName>
    <definedName name="ie" hidden="1">{"'Sheet1'!$L$16"}</definedName>
    <definedName name="IELWSALES">#REF!</definedName>
    <definedName name="IELYSALES">#REF!</definedName>
    <definedName name="IEPLANSALES">#REF!</definedName>
    <definedName name="IESP">#REF!</definedName>
    <definedName name="II">#N/A</definedName>
    <definedName name="iiiiiierygclwmhru">'[10]B_S Group'!$H$348</definedName>
    <definedName name="inc">'[50]per unit'!#REF!</definedName>
    <definedName name="INCM">'[4]Financial Estimates'!$E$293:$J$339</definedName>
    <definedName name="INDE">#N/A</definedName>
    <definedName name="Inland2">#REF!</definedName>
    <definedName name="interest_and_finance_charges_bs" localSheetId="8">#REF!</definedName>
    <definedName name="interest_and_finance_charges_bs">#REF!</definedName>
    <definedName name="interest_finance_charges_schedule" localSheetId="8">#REF!</definedName>
    <definedName name="interest_finance_charges_schedule">#REF!</definedName>
    <definedName name="INTERFACE_FORMAT_VERSION">#REF!</definedName>
    <definedName name="INTERFACE_NAME">#REF!</definedName>
    <definedName name="IntFreeCred">#REF!</definedName>
    <definedName name="IntRate_11">[42]Assumptions!$B$11</definedName>
    <definedName name="IntRate_12">[42]Assumptions!$B$12</definedName>
    <definedName name="IntRate_WC">[32]Assumptions!$B$16</definedName>
    <definedName name="IntRate_WC10">[42]Assumptions!$B$16</definedName>
    <definedName name="IntRate_WC11">[42]Assumptions!$B$17</definedName>
    <definedName name="IntRate_WC12">[42]Assumptions!$B$18</definedName>
    <definedName name="IntRate12" localSheetId="8">#REF!</definedName>
    <definedName name="IntRate12">#REF!</definedName>
    <definedName name="IntRate13" localSheetId="8">#REF!</definedName>
    <definedName name="IntRate13">#REF!</definedName>
    <definedName name="IntRateWC11" localSheetId="8">#REF!</definedName>
    <definedName name="IntRateWC11">#REF!</definedName>
    <definedName name="IntRateWC12" localSheetId="8">#REF!</definedName>
    <definedName name="IntRateWC12">#REF!</definedName>
    <definedName name="IntRateWC13" localSheetId="8">#REF!</definedName>
    <definedName name="IntRateWC13">#REF!</definedName>
    <definedName name="Intt_Charge_cY" localSheetId="8">#REF!,#REF!</definedName>
    <definedName name="Intt_Charge_cY">#REF!,#REF!</definedName>
    <definedName name="Intt_Charge_cy_1">'[51]A 3.7'!$H$35,'[51]A 3.7'!$H$44</definedName>
    <definedName name="Intt_Charge_eY" localSheetId="8">#REF!,#REF!</definedName>
    <definedName name="Intt_Charge_eY">#REF!,#REF!</definedName>
    <definedName name="Intt_Charge_ey_1">'[51]A 3.7'!$I$35,'[51]A 3.7'!$I$44</definedName>
    <definedName name="Intt_Charge_PY" localSheetId="8">#REF!,#REF!</definedName>
    <definedName name="Intt_Charge_PY">#REF!,#REF!</definedName>
    <definedName name="Intt_Charge_py_1">'[51]A 3.7'!$G$35,'[51]A 3.7'!$G$44</definedName>
    <definedName name="iop" localSheetId="45" hidden="1">{"'Sheet1'!$L$16"}</definedName>
    <definedName name="iop" localSheetId="46" hidden="1">{"'Sheet1'!$L$16"}</definedName>
    <definedName name="iop" localSheetId="53" hidden="1">{"'Sheet1'!$L$16"}</definedName>
    <definedName name="iop" localSheetId="8" hidden="1">{"'Sheet1'!$L$16"}</definedName>
    <definedName name="iop" localSheetId="20" hidden="1">{"'Sheet1'!$L$16"}</definedName>
    <definedName name="iop" hidden="1">{"'Sheet1'!$L$16"}</definedName>
    <definedName name="IPT">#REF!</definedName>
    <definedName name="IRANFARS_최종_3차분">#REF!</definedName>
    <definedName name="IRANFARS2차분_REV_">#REF!</definedName>
    <definedName name="is" localSheetId="45" hidden="1">{"'Sheet1'!$L$16"}</definedName>
    <definedName name="is" localSheetId="46" hidden="1">{"'Sheet1'!$L$16"}</definedName>
    <definedName name="is" localSheetId="53" hidden="1">{"'Sheet1'!$L$16"}</definedName>
    <definedName name="is" localSheetId="8" hidden="1">{"'Sheet1'!$L$16"}</definedName>
    <definedName name="is" localSheetId="20" hidden="1">{"'Sheet1'!$L$16"}</definedName>
    <definedName name="is" hidden="1">{"'Sheet1'!$L$16"}</definedName>
    <definedName name="IsCircular" localSheetId="8">#REF!</definedName>
    <definedName name="IsCircular">#REF!</definedName>
    <definedName name="ISODWG">#N/A</definedName>
    <definedName name="it" localSheetId="45" hidden="1">{"'Sheet1'!$L$16"}</definedName>
    <definedName name="it" localSheetId="46" hidden="1">{"'Sheet1'!$L$16"}</definedName>
    <definedName name="it" localSheetId="53" hidden="1">{"'Sheet1'!$L$16"}</definedName>
    <definedName name="it" localSheetId="8" hidden="1">{"'Sheet1'!$L$16"}</definedName>
    <definedName name="it" localSheetId="20" hidden="1">{"'Sheet1'!$L$16"}</definedName>
    <definedName name="it" hidden="1">{"'Sheet1'!$L$16"}</definedName>
    <definedName name="ITEM">#N/A</definedName>
    <definedName name="ITEM_CODE">'[31]ITEM-LIST'!#REF!</definedName>
    <definedName name="ITEM_NAME">#N/A</definedName>
    <definedName name="ITNO">#N/A</definedName>
    <definedName name="iv2dt" localSheetId="53" hidden="1">'[21]Eq. Mobilization'!#REF!</definedName>
    <definedName name="iv2dt" localSheetId="51" hidden="1">'[21]Eq. Mobilization'!#REF!</definedName>
    <definedName name="iv2dt" localSheetId="36" hidden="1">'[21]Eq. Mobilization'!#REF!</definedName>
    <definedName name="iv2dt" localSheetId="37" hidden="1">'[21]Eq. Mobilization'!#REF!</definedName>
    <definedName name="iv2dt" hidden="1">'[21]Eq. Mobilization'!#REF!</definedName>
    <definedName name="ivdt" localSheetId="53" hidden="1">'[21]Eq. Mobilization'!#REF!</definedName>
    <definedName name="ivdt" localSheetId="51" hidden="1">'[21]Eq. Mobilization'!#REF!</definedName>
    <definedName name="ivdt" localSheetId="36" hidden="1">'[21]Eq. Mobilization'!#REF!</definedName>
    <definedName name="ivdt" localSheetId="37" hidden="1">'[21]Eq. Mobilization'!#REF!</definedName>
    <definedName name="ivdt" hidden="1">'[21]Eq. Mobilization'!#REF!</definedName>
    <definedName name="J">#REF!</definedName>
    <definedName name="J_CODE">#N/A</definedName>
    <definedName name="J_DATE">#N/A</definedName>
    <definedName name="J_DEL">#N/A</definedName>
    <definedName name="J_DESC">#N/A</definedName>
    <definedName name="J_NAME">#N/A</definedName>
    <definedName name="J_P_MH">#N/A</definedName>
    <definedName name="J_PROG">#N/A</definedName>
    <definedName name="J_REMAINMH">#N/A</definedName>
    <definedName name="J_TEL">'[31]ITEM-LIST'!#REF!</definedName>
    <definedName name="JE">#N/A</definedName>
    <definedName name="JEJAK">#N/A</definedName>
    <definedName name="jfgf">[10]BEST_17112006!$A$206</definedName>
    <definedName name="JJ">'[47]MOB-MAN1'!$D$40:$BW$49</definedName>
    <definedName name="JJJ" localSheetId="45" hidden="1">[52]DJ1!#REF!</definedName>
    <definedName name="JJJ" localSheetId="46" hidden="1">[53]DJ1!#REF!</definedName>
    <definedName name="JJJ" localSheetId="53" hidden="1">[54]DJ1!#REF!</definedName>
    <definedName name="JJJ" localSheetId="8" hidden="1">[54]DJ1!#REF!</definedName>
    <definedName name="JJJ" localSheetId="51" hidden="1">[53]DJ1!#REF!</definedName>
    <definedName name="JJJ" localSheetId="36" hidden="1">[53]DJ1!#REF!</definedName>
    <definedName name="JJJ" localSheetId="37" hidden="1">[53]DJ1!#REF!</definedName>
    <definedName name="JJJ" hidden="1">[53]DJ1!#REF!</definedName>
    <definedName name="jjkjklj" localSheetId="8">#REF!,#REF!</definedName>
    <definedName name="jjkjklj">#REF!,#REF!</definedName>
    <definedName name="jjskjsklj" localSheetId="8">#REF!</definedName>
    <definedName name="jjskjsklj">#REF!</definedName>
    <definedName name="jsjssij" localSheetId="8">#REF!</definedName>
    <definedName name="jsjssij">#REF!</definedName>
    <definedName name="JU">'[34]해외 기술훈련비 (합계)'!#REF!</definedName>
    <definedName name="K">[26]현장지지물물량!$A$8:$N$196</definedName>
    <definedName name="K2000_">#N/A</definedName>
    <definedName name="KABOLINE" localSheetId="45" hidden="1">'[21]Eq. Mobilization'!#REF!</definedName>
    <definedName name="KABOLINE" localSheetId="46" hidden="1">'[21]Eq. Mobilization'!#REF!</definedName>
    <definedName name="KABOLINE" localSheetId="53" hidden="1">'[21]Eq. Mobilization'!#REF!</definedName>
    <definedName name="KABOLINE" localSheetId="8" hidden="1">'[21]Eq. Mobilization'!#REF!</definedName>
    <definedName name="KABOLINE" localSheetId="51" hidden="1">'[21]Eq. Mobilization'!#REF!</definedName>
    <definedName name="KABOLINE" localSheetId="36" hidden="1">'[21]Eq. Mobilization'!#REF!</definedName>
    <definedName name="KABOLINE" localSheetId="37" hidden="1">'[21]Eq. Mobilization'!#REF!</definedName>
    <definedName name="KABOLINE" hidden="1">'[21]Eq. Mobilization'!#REF!</definedName>
    <definedName name="ket" localSheetId="8">[3]소화실적!#REF!</definedName>
    <definedName name="ket">[3]소화실적!#REF!</definedName>
    <definedName name="Keta" localSheetId="8">#REF!</definedName>
    <definedName name="Keta">#REF!</definedName>
    <definedName name="Ketan" localSheetId="8">#REF!</definedName>
    <definedName name="Ketan">#REF!</definedName>
    <definedName name="KG">'[55]P-LIST'!#REF!</definedName>
    <definedName name="KI">'[34]해외 연수비용 계산-삭제'!#REF!</definedName>
    <definedName name="kishor" localSheetId="8">#REF!</definedName>
    <definedName name="kishor">#REF!</definedName>
    <definedName name="KISS">'[11]해외 기술훈련비 (합계)'!#REF!</definedName>
    <definedName name="KK">[26]현장지지물물량!$A$1:$IV$7</definedName>
    <definedName name="kkJJ" localSheetId="8">#REF!</definedName>
    <definedName name="kkJJ">#REF!</definedName>
    <definedName name="KKK" localSheetId="45" hidden="1">[52]DJ1!#REF!</definedName>
    <definedName name="KKK" localSheetId="46" hidden="1">[53]DJ1!#REF!</definedName>
    <definedName name="KKK" localSheetId="53" hidden="1">[54]DJ1!#REF!</definedName>
    <definedName name="KKK" localSheetId="8" hidden="1">[54]DJ1!#REF!</definedName>
    <definedName name="KKK" localSheetId="51" hidden="1">[53]DJ1!#REF!</definedName>
    <definedName name="KKK" localSheetId="36" hidden="1">[53]DJ1!#REF!</definedName>
    <definedName name="KKK" localSheetId="37" hidden="1">[53]DJ1!#REF!</definedName>
    <definedName name="KKK" hidden="1">[53]DJ1!#REF!</definedName>
    <definedName name="KL">'[34]해외 연수비용 계산-삭제'!#REF!</definedName>
    <definedName name="ksokskosk" localSheetId="8">#REF!</definedName>
    <definedName name="ksokskosk">#REF!</definedName>
    <definedName name="L">#REF!</definedName>
    <definedName name="Landing_Cost">#REF!</definedName>
    <definedName name="LANGUAGE_VERSION">#REF!</definedName>
    <definedName name="LC">#REF!</definedName>
    <definedName name="LE">#N/A</definedName>
    <definedName name="LJ">'[34]해외 기술훈련비 (합계)'!#REF!</definedName>
    <definedName name="llJkljl" localSheetId="8">#REF!</definedName>
    <definedName name="llJkljl">#REF!</definedName>
    <definedName name="LLL" localSheetId="45" hidden="1">[52]DJ1!#REF!</definedName>
    <definedName name="LLL" localSheetId="46" hidden="1">[53]DJ1!#REF!</definedName>
    <definedName name="LLL" localSheetId="53" hidden="1">[54]DJ1!#REF!</definedName>
    <definedName name="LLL" localSheetId="8" hidden="1">[54]DJ1!#REF!</definedName>
    <definedName name="LLL" localSheetId="51" hidden="1">[53]DJ1!#REF!</definedName>
    <definedName name="LLL" localSheetId="36" hidden="1">[53]DJ1!#REF!</definedName>
    <definedName name="LLL" localSheetId="37" hidden="1">[53]DJ1!#REF!</definedName>
    <definedName name="LLL" hidden="1">[53]DJ1!#REF!</definedName>
    <definedName name="LO">'[34]해외 연수비용 계산-삭제'!#REF!</definedName>
    <definedName name="LOANRATE">'[11]해외 연수비용 계산-삭제'!#REF!</definedName>
    <definedName name="LOANTO">'[11]해외 연수비용 계산-삭제'!#REF!</definedName>
    <definedName name="LOOSETOOLS_ES_TA" localSheetId="8">#REF!</definedName>
    <definedName name="LOOSETOOLS_ES_TA">#REF!</definedName>
    <definedName name="LOOSETOOLS_ES_TD" localSheetId="8">#REF!</definedName>
    <definedName name="LOOSETOOLS_ES_TD">#REF!</definedName>
    <definedName name="LTR_M_NEW" localSheetId="8">#REF!</definedName>
    <definedName name="LTR_M_NEW">#REF!</definedName>
    <definedName name="LTR_MOR" localSheetId="8">#REF!</definedName>
    <definedName name="LTR_MOR">#REF!</definedName>
    <definedName name="LWSALES">#REF!</definedName>
    <definedName name="LYBin">#REF!</definedName>
    <definedName name="LYHolds">#REF!</definedName>
    <definedName name="LYNet">#REF!</definedName>
    <definedName name="LYoos">#REF!</definedName>
    <definedName name="LYReselects">#REF!</definedName>
    <definedName name="LYReturns">#REF!</definedName>
    <definedName name="LYSales">#REF!</definedName>
    <definedName name="LYTotal">#REF!</definedName>
    <definedName name="M">#REF!</definedName>
    <definedName name="M_A_L_G_A">#N/A</definedName>
    <definedName name="M_L_N_G">#N/A</definedName>
    <definedName name="M_P_D_P">#N/A</definedName>
    <definedName name="M1_">#REF!</definedName>
    <definedName name="M2_">#REF!</definedName>
    <definedName name="MACHINETOOLS_ES_TA" localSheetId="8">#REF!</definedName>
    <definedName name="MACHINETOOLS_ES_TA">#REF!</definedName>
    <definedName name="MACHINETOOLS_ES_TD" localSheetId="8">#REF!</definedName>
    <definedName name="MACHINETOOLS_ES_TD">#REF!</definedName>
    <definedName name="MAKEQTY">#N/A</definedName>
    <definedName name="MAKEQTYNU">#N/A</definedName>
    <definedName name="MAKETWT">#N/A</definedName>
    <definedName name="MAKETWTNU">#N/A</definedName>
    <definedName name="MARGINPLAN">#REF!</definedName>
    <definedName name="MARGINPROJ">#REF!</definedName>
    <definedName name="MAT">#N/A</definedName>
    <definedName name="MAT_NO">#N/A</definedName>
    <definedName name="MAT_SIZE">#N/A</definedName>
    <definedName name="MATERIAL">#N/A</definedName>
    <definedName name="MATL">#N/A</definedName>
    <definedName name="MDR_BEST_BEF">#REF!</definedName>
    <definedName name="MDR_BSES_BEF">#REF!</definedName>
    <definedName name="MDR_HTCOMM_AFT">'[4]Financial Estimates'!$C$300</definedName>
    <definedName name="MDR_HTCOMM_BEF">#REF!</definedName>
    <definedName name="MDR_HTIND_AFT">'[4]Financial Estimates'!$C$299</definedName>
    <definedName name="MDR_HTIND_BEF">#REF!</definedName>
    <definedName name="MDR_LTCOMM_AFT">'[4]Financial Estimates'!$C$302</definedName>
    <definedName name="MDR_LTCOMM_BEF">#REF!</definedName>
    <definedName name="MDR_LTIND_AFT">'[4]Financial Estimates'!$C$301</definedName>
    <definedName name="MDR_LTIND_BEF">#REF!</definedName>
    <definedName name="MDR_RLY_AFT">'[4]Financial Estimates'!$C$303</definedName>
    <definedName name="MDR_RLY_BEF">#REF!</definedName>
    <definedName name="MDR_TIR_BEF">#REF!</definedName>
    <definedName name="MDR_TXT_AFT">'[4]Financial Estimates'!$C$298</definedName>
    <definedName name="MDR_TXT_BEF">#REF!</definedName>
    <definedName name="METERS_ES_TA" localSheetId="8">#REF!</definedName>
    <definedName name="METERS_ES_TA">#REF!</definedName>
    <definedName name="METERS_ES_TD" localSheetId="8">#REF!</definedName>
    <definedName name="METERS_ES_TD">#REF!</definedName>
    <definedName name="METHOD">'[11]해외 연수비용 계산-삭제'!#REF!</definedName>
    <definedName name="MID">#N/A</definedName>
    <definedName name="MIN">[56]Input_Sheet!#REF!</definedName>
    <definedName name="Miscelleneous_Expenditure" localSheetId="8">#REF!</definedName>
    <definedName name="Miscelleneous_Expenditure">#REF!</definedName>
    <definedName name="ML">#N/A</definedName>
    <definedName name="mn" localSheetId="45" hidden="1">{"'Sheet1'!$L$16"}</definedName>
    <definedName name="mn" localSheetId="46" hidden="1">{"'Sheet1'!$L$16"}</definedName>
    <definedName name="mn" localSheetId="53" hidden="1">{"'Sheet1'!$L$16"}</definedName>
    <definedName name="mn" localSheetId="8" hidden="1">{"'Sheet1'!$L$16"}</definedName>
    <definedName name="mn" localSheetId="20" hidden="1">{"'Sheet1'!$L$16"}</definedName>
    <definedName name="mn" hidden="1">{"'Sheet1'!$L$16"}</definedName>
    <definedName name="mo">#REF!</definedName>
    <definedName name="MO_DES">#N/A</definedName>
    <definedName name="MO_NO">#N/A</definedName>
    <definedName name="MODEL">#N/A</definedName>
    <definedName name="MODES">#N/A</definedName>
    <definedName name="MODESC">#N/A</definedName>
    <definedName name="MOITEM">#N/A</definedName>
    <definedName name="MONITORPNT">[11]!MONITORPNT</definedName>
    <definedName name="MONO">#N/A</definedName>
    <definedName name="month">#REF!</definedName>
    <definedName name="MOTORVEHICLE_ES_TA" localSheetId="8">#REF!</definedName>
    <definedName name="MOTORVEHICLE_ES_TA">#REF!</definedName>
    <definedName name="MOTORVEHICLE_ES_TD" localSheetId="8">#REF!</definedName>
    <definedName name="MOTORVEHICLE_ES_TD">#REF!</definedName>
    <definedName name="mth">'[57]per unit'!#REF!</definedName>
    <definedName name="MTL">#N/A</definedName>
    <definedName name="MVEHICLE_GEN_TA" localSheetId="8">#REF!</definedName>
    <definedName name="MVEHICLE_GEN_TA">#REF!</definedName>
    <definedName name="MVEHICLE_GEN_TD" localSheetId="8">#REF!</definedName>
    <definedName name="MVEHICLE_GEN_TD">#REF!</definedName>
    <definedName name="MYCAP">'[11]해외 연수비용 계산-삭제'!#REF!</definedName>
    <definedName name="MYLOAN">'[11]해외 연수비용 계산-삭제'!#REF!</definedName>
    <definedName name="MYRATE" localSheetId="8">'[11]해외 연수비용 계산-삭제'!#REF!</definedName>
    <definedName name="MYRATE">'[11]해외 연수비용 계산-삭제'!#REF!</definedName>
    <definedName name="MYTO" localSheetId="8">'[11]해외 연수비용 계산-삭제'!#REF!</definedName>
    <definedName name="MYTO">'[11]해외 연수비용 계산-삭제'!#REF!</definedName>
    <definedName name="N">#REF!</definedName>
    <definedName name="NAM_1">#N/A</definedName>
    <definedName name="NATION">'[11]해외 연수비용 계산-삭제'!#REF!</definedName>
    <definedName name="needle">#REF!</definedName>
    <definedName name="new" localSheetId="45" hidden="1">[58]CE!#REF!</definedName>
    <definedName name="new" localSheetId="53" hidden="1">[58]CE!#REF!</definedName>
    <definedName name="new" localSheetId="4" hidden="1">[58]CE!#REF!</definedName>
    <definedName name="new" localSheetId="5" hidden="1">[58]CE!#REF!</definedName>
    <definedName name="new" localSheetId="7" hidden="1">[58]CE!#REF!</definedName>
    <definedName name="new" localSheetId="8" hidden="1">[58]CE!#REF!</definedName>
    <definedName name="new" localSheetId="51" hidden="1">[58]CE!#REF!</definedName>
    <definedName name="new" localSheetId="36" hidden="1">[58]CE!#REF!</definedName>
    <definedName name="new" localSheetId="37" hidden="1">[58]CE!#REF!</definedName>
    <definedName name="new" localSheetId="10" hidden="1">[58]CE!#REF!</definedName>
    <definedName name="new" localSheetId="18" hidden="1">[58]CE!#REF!</definedName>
    <definedName name="new" localSheetId="23" hidden="1">[58]CE!#REF!</definedName>
    <definedName name="new" localSheetId="24" hidden="1">[58]CE!#REF!</definedName>
    <definedName name="new" hidden="1">[58]CE!#REF!</definedName>
    <definedName name="NG" localSheetId="8">'[34]해외 연수비용 계산-삭제'!#REF!</definedName>
    <definedName name="NG">'[34]해외 연수비용 계산-삭제'!#REF!</definedName>
    <definedName name="NIPP">#REF!</definedName>
    <definedName name="nis" localSheetId="53" hidden="1">#REF!</definedName>
    <definedName name="nis" localSheetId="8" hidden="1">#REF!</definedName>
    <definedName name="nis" localSheetId="51" hidden="1">#REF!</definedName>
    <definedName name="nis" localSheetId="36" hidden="1">#REF!</definedName>
    <definedName name="nis" localSheetId="37" hidden="1">#REF!</definedName>
    <definedName name="nis" hidden="1">#REF!</definedName>
    <definedName name="NN">'[1]97 사업추정(WEKI)'!#REF!</definedName>
    <definedName name="nnkklj" localSheetId="8">#REF!</definedName>
    <definedName name="nnkklj">#REF!</definedName>
    <definedName name="Note_26bs" localSheetId="8">#REF!</definedName>
    <definedName name="Note_26bs">#REF!</definedName>
    <definedName name="Note_3bs." localSheetId="8">#REF!</definedName>
    <definedName name="Note_3bs.">#REF!</definedName>
    <definedName name="Notes__11bs" localSheetId="8">#REF!</definedName>
    <definedName name="Notes__11bs">#REF!</definedName>
    <definedName name="Notes_10bs" localSheetId="8">#REF!</definedName>
    <definedName name="Notes_10bs">#REF!</definedName>
    <definedName name="Notes_12bs" localSheetId="8">#REF!</definedName>
    <definedName name="Notes_12bs">#REF!</definedName>
    <definedName name="Notes_13bs" localSheetId="8">#REF!</definedName>
    <definedName name="Notes_13bs">#REF!</definedName>
    <definedName name="Notes_14bs" localSheetId="8">#REF!</definedName>
    <definedName name="Notes_14bs">#REF!</definedName>
    <definedName name="Notes_15bs" localSheetId="8">#REF!</definedName>
    <definedName name="Notes_15bs">#REF!</definedName>
    <definedName name="Notes_16Bs" localSheetId="8">#REF!</definedName>
    <definedName name="Notes_16Bs">#REF!</definedName>
    <definedName name="Notes_17bs" localSheetId="8">#REF!</definedName>
    <definedName name="Notes_17bs">#REF!</definedName>
    <definedName name="Notes_18Bs" localSheetId="8">#REF!</definedName>
    <definedName name="Notes_18Bs">#REF!</definedName>
    <definedName name="Notes_19bs" localSheetId="8">#REF!</definedName>
    <definedName name="Notes_19bs">#REF!</definedName>
    <definedName name="Notes_20bs" localSheetId="8">#REF!</definedName>
    <definedName name="Notes_20bs">#REF!</definedName>
    <definedName name="Notes_21bs" localSheetId="8">#REF!</definedName>
    <definedName name="Notes_21bs">#REF!</definedName>
    <definedName name="Notes_22bs" localSheetId="8">#REF!</definedName>
    <definedName name="Notes_22bs">#REF!</definedName>
    <definedName name="Notes_23bs" localSheetId="8">#REF!</definedName>
    <definedName name="Notes_23bs">#REF!</definedName>
    <definedName name="Notes_24bs" localSheetId="8">#REF!</definedName>
    <definedName name="Notes_24bs">#REF!</definedName>
    <definedName name="Notes_25Bs" localSheetId="8">#REF!</definedName>
    <definedName name="Notes_25Bs">#REF!</definedName>
    <definedName name="notes_2bs." localSheetId="8">#REF!</definedName>
    <definedName name="notes_2bs.">#REF!</definedName>
    <definedName name="Notes_3bs" localSheetId="8">#REF!</definedName>
    <definedName name="Notes_3bs">#REF!</definedName>
    <definedName name="Notes_4bs" localSheetId="8">#REF!</definedName>
    <definedName name="Notes_4bs">#REF!</definedName>
    <definedName name="Notes_5bs" localSheetId="8">#REF!</definedName>
    <definedName name="Notes_5bs">#REF!</definedName>
    <definedName name="Notes_6bs" localSheetId="8">#REF!</definedName>
    <definedName name="Notes_6bs">#REF!</definedName>
    <definedName name="Notes_7bs" localSheetId="8">#REF!</definedName>
    <definedName name="Notes_7bs">#REF!</definedName>
    <definedName name="Notes_8bs" localSheetId="8">#REF!</definedName>
    <definedName name="Notes_8bs">#REF!</definedName>
    <definedName name="Notes_9bs" localSheetId="8">#REF!</definedName>
    <definedName name="Notes_9bs">#REF!</definedName>
    <definedName name="Notes2.bs" localSheetId="8">#REF!</definedName>
    <definedName name="Notes2.bs">#REF!</definedName>
    <definedName name="nwjehfi">'[10]B_S Group'!$H$103</definedName>
    <definedName name="o" localSheetId="46" hidden="1">{"'Sheet1'!$L$16"}</definedName>
    <definedName name="O">#REF!</definedName>
    <definedName name="O_SCOPE_DATA">#REF!</definedName>
    <definedName name="OFFICE.EQUIP_ES_TA" localSheetId="8">#REF!</definedName>
    <definedName name="OFFICE.EQUIP_ES_TA">#REF!</definedName>
    <definedName name="OFFICE.EQUIP_ES_TD" localSheetId="8">#REF!</definedName>
    <definedName name="OFFICE.EQUIP_ES_TD">#REF!</definedName>
    <definedName name="Olklkk" localSheetId="8">#REF!</definedName>
    <definedName name="Olklkk">#REF!</definedName>
    <definedName name="p">#REF!</definedName>
    <definedName name="P.C._ES_TA" localSheetId="8">#REF!</definedName>
    <definedName name="P.C._ES_TA">#REF!</definedName>
    <definedName name="P.C._ES_TD" localSheetId="8">#REF!</definedName>
    <definedName name="P.C._ES_TD">#REF!</definedName>
    <definedName name="P1_">#N/A</definedName>
    <definedName name="P10_">#N/A</definedName>
    <definedName name="P11_">#N/A</definedName>
    <definedName name="P12_">#N/A</definedName>
    <definedName name="P13_">#N/A</definedName>
    <definedName name="P14_">#N/A</definedName>
    <definedName name="P15_">#N/A</definedName>
    <definedName name="P16_">#N/A</definedName>
    <definedName name="P17_">#N/A</definedName>
    <definedName name="P2_">#N/A</definedName>
    <definedName name="P3_">#N/A</definedName>
    <definedName name="P4_">#N/A</definedName>
    <definedName name="P5_">#N/A</definedName>
    <definedName name="P6_">#N/A</definedName>
    <definedName name="P7_">#N/A</definedName>
    <definedName name="P8_">#N/A</definedName>
    <definedName name="P9_">#N/A</definedName>
    <definedName name="PAGE_1">NA()</definedName>
    <definedName name="PAGE1">#REF!</definedName>
    <definedName name="page10" localSheetId="8">#REF!</definedName>
    <definedName name="page10">#REF!</definedName>
    <definedName name="PAGE10_6" localSheetId="8">#REF!</definedName>
    <definedName name="PAGE10_6">#REF!</definedName>
    <definedName name="PAGE11">#N/A</definedName>
    <definedName name="PAGE11_6" localSheetId="8">#REF!</definedName>
    <definedName name="PAGE11_6">#REF!</definedName>
    <definedName name="PAGE12">#N/A</definedName>
    <definedName name="PAGE12_6" localSheetId="8">#REF!</definedName>
    <definedName name="PAGE12_6">#REF!</definedName>
    <definedName name="PAGE14" localSheetId="8">#REF!</definedName>
    <definedName name="PAGE14">#REF!</definedName>
    <definedName name="PAGE15" localSheetId="8">#REF!</definedName>
    <definedName name="PAGE15">#REF!</definedName>
    <definedName name="PAGE16" localSheetId="8">#REF!</definedName>
    <definedName name="PAGE16">#REF!</definedName>
    <definedName name="PAGE17" localSheetId="8">#REF!</definedName>
    <definedName name="PAGE17">#REF!</definedName>
    <definedName name="PAGE18" localSheetId="8">#REF!</definedName>
    <definedName name="PAGE18">#REF!</definedName>
    <definedName name="PAGE19" localSheetId="8">#REF!</definedName>
    <definedName name="PAGE19">#REF!</definedName>
    <definedName name="PAGE2">#REF!</definedName>
    <definedName name="PAGE2_6" localSheetId="8">#REF!</definedName>
    <definedName name="PAGE2_6">#REF!</definedName>
    <definedName name="PAGE20" localSheetId="8">#REF!</definedName>
    <definedName name="PAGE20">#REF!</definedName>
    <definedName name="PAGE21">#REF!</definedName>
    <definedName name="PAGE210" localSheetId="8">#REF!</definedName>
    <definedName name="PAGE210">#REF!</definedName>
    <definedName name="PAGE22">#REF!</definedName>
    <definedName name="PAGE23" localSheetId="8">#REF!</definedName>
    <definedName name="PAGE23">#REF!</definedName>
    <definedName name="PAGE24" localSheetId="8">#REF!</definedName>
    <definedName name="PAGE24">#REF!</definedName>
    <definedName name="PAGE25" localSheetId="8">#REF!</definedName>
    <definedName name="PAGE25">#REF!</definedName>
    <definedName name="PAGE26" localSheetId="8">#REF!</definedName>
    <definedName name="PAGE26">#REF!</definedName>
    <definedName name="PAGE27" localSheetId="8">#REF!</definedName>
    <definedName name="PAGE27">#REF!</definedName>
    <definedName name="PAGE28" localSheetId="8">#REF!</definedName>
    <definedName name="PAGE28">#REF!</definedName>
    <definedName name="PAGE29" localSheetId="8">#REF!</definedName>
    <definedName name="PAGE29">#REF!</definedName>
    <definedName name="page3">#REF!</definedName>
    <definedName name="PAGE3_6" localSheetId="8">#REF!</definedName>
    <definedName name="PAGE3_6">#REF!</definedName>
    <definedName name="PAGE31">#N/A</definedName>
    <definedName name="PAGE32">#N/A</definedName>
    <definedName name="page34" localSheetId="8">#REF!</definedName>
    <definedName name="page34">#REF!</definedName>
    <definedName name="Page35" localSheetId="8">#REF!</definedName>
    <definedName name="Page35">#REF!</definedName>
    <definedName name="PAGE4_6" localSheetId="8">#REF!</definedName>
    <definedName name="PAGE4_6">#REF!</definedName>
    <definedName name="PAGE41">#N/A</definedName>
    <definedName name="PAGE42">#N/A</definedName>
    <definedName name="PAGE5_6" localSheetId="8">#REF!</definedName>
    <definedName name="PAGE5_6">#REF!</definedName>
    <definedName name="page50" localSheetId="8">#REF!</definedName>
    <definedName name="page50">#REF!</definedName>
    <definedName name="page51" localSheetId="8">#REF!</definedName>
    <definedName name="page51">#REF!</definedName>
    <definedName name="page52" localSheetId="8">#REF!</definedName>
    <definedName name="page52">#REF!</definedName>
    <definedName name="PAGE6" localSheetId="8">#REF!</definedName>
    <definedName name="PAGE6">#REF!</definedName>
    <definedName name="PAGE6_6" localSheetId="8">#REF!</definedName>
    <definedName name="PAGE6_6">#REF!</definedName>
    <definedName name="PAGE7" localSheetId="8">#REF!</definedName>
    <definedName name="PAGE7">#REF!</definedName>
    <definedName name="PAGE7_6" localSheetId="8">#REF!</definedName>
    <definedName name="PAGE7_6">#REF!</definedName>
    <definedName name="PAGE8" localSheetId="8">#REF!</definedName>
    <definedName name="PAGE8">#REF!</definedName>
    <definedName name="PAGE8_6U1A" localSheetId="8">#REF!</definedName>
    <definedName name="PAGE8_6U1A">#REF!</definedName>
    <definedName name="PAGE8_6U1B" localSheetId="8">#REF!</definedName>
    <definedName name="PAGE8_6U1B">#REF!</definedName>
    <definedName name="PAGE8_6U2A" localSheetId="8">#REF!</definedName>
    <definedName name="PAGE8_6U2A">#REF!</definedName>
    <definedName name="PAGE8_6U2B" localSheetId="8">#REF!</definedName>
    <definedName name="PAGE8_6U2B">#REF!</definedName>
    <definedName name="PAGE8_6U3A" localSheetId="8">#REF!</definedName>
    <definedName name="PAGE8_6U3A">#REF!</definedName>
    <definedName name="PAGE8_6U3B" localSheetId="8">#REF!</definedName>
    <definedName name="PAGE8_6U3B">#REF!</definedName>
    <definedName name="PAGE9" localSheetId="8">#REF!</definedName>
    <definedName name="PAGE9">#REF!</definedName>
    <definedName name="PAGE9_6" localSheetId="8">#REF!</definedName>
    <definedName name="PAGE9_6">#REF!</definedName>
    <definedName name="PART">'[11]해외 기술훈련비 (합계)'!#REF!</definedName>
    <definedName name="PART_NO">#N/A</definedName>
    <definedName name="PC">#N/A</definedName>
    <definedName name="PC_GEN_TA" localSheetId="8">#REF!</definedName>
    <definedName name="PC_GEN_TA">#REF!</definedName>
    <definedName name="PC_GEN_TD" localSheetId="8">#REF!</definedName>
    <definedName name="PC_GEN_TD">#REF!</definedName>
    <definedName name="PCL">#N/A</definedName>
    <definedName name="PCN">#REF!</definedName>
    <definedName name="PCNO">#REF!</definedName>
    <definedName name="PCNO1">#REF!</definedName>
    <definedName name="pcraig1">#REF!</definedName>
    <definedName name="PIN">#N/A</definedName>
    <definedName name="PIPE">#REF!</definedName>
    <definedName name="PJT">#N/A</definedName>
    <definedName name="PKS">#REF!</definedName>
    <definedName name="PLANT_GEN_TA" localSheetId="8">#REF!</definedName>
    <definedName name="PLANT_GEN_TA">#REF!</definedName>
    <definedName name="PLANT_GEN_TD" localSheetId="8">#REF!</definedName>
    <definedName name="PLANT_GEN_TD">#REF!</definedName>
    <definedName name="PLF">[59]Sheet1!$C$2</definedName>
    <definedName name="PLUG">#REF!</definedName>
    <definedName name="PONO">#N/A</definedName>
    <definedName name="Pop_Ratio" localSheetId="8">#REF!</definedName>
    <definedName name="Pop_Ratio">#REF!</definedName>
    <definedName name="pound">#REF!</definedName>
    <definedName name="PR">#N/A</definedName>
    <definedName name="PRDump">#REF!</definedName>
    <definedName name="PREF">#N/A</definedName>
    <definedName name="PREV_NO1">'[31]ITEM-LIST'!#REF!</definedName>
    <definedName name="PREV_NO10" localSheetId="8">'[31]ITEM-LIST'!#REF!</definedName>
    <definedName name="PREV_NO10">'[31]ITEM-LIST'!#REF!</definedName>
    <definedName name="PREV_NO11" localSheetId="8">'[31]ITEM-LIST'!#REF!</definedName>
    <definedName name="PREV_NO11">'[31]ITEM-LIST'!#REF!</definedName>
    <definedName name="PREV_NO12">'[31]ITEM-LIST'!#REF!</definedName>
    <definedName name="PREV_NO13">'[31]ITEM-LIST'!#REF!</definedName>
    <definedName name="PREV_NO14">'[31]ITEM-LIST'!#REF!</definedName>
    <definedName name="PREV_NO15">'[31]ITEM-LIST'!#REF!</definedName>
    <definedName name="PREV_NO2">'[31]ITEM-LIST'!#REF!</definedName>
    <definedName name="PREV_NO3">'[31]ITEM-LIST'!#REF!</definedName>
    <definedName name="PREV_NO4">'[31]ITEM-LIST'!#REF!</definedName>
    <definedName name="PREV_NO5">'[31]ITEM-LIST'!#REF!</definedName>
    <definedName name="PREV_NO6">'[31]ITEM-LIST'!#REF!</definedName>
    <definedName name="PREV_NO7">'[31]ITEM-LIST'!#REF!</definedName>
    <definedName name="PREV_NO8">'[31]ITEM-LIST'!#REF!</definedName>
    <definedName name="PREV_NO9">'[31]ITEM-LIST'!#REF!</definedName>
    <definedName name="PRF_1" localSheetId="8">#REF!</definedName>
    <definedName name="PRF_1">#REF!</definedName>
    <definedName name="PRF_2_P1" localSheetId="8">#REF!</definedName>
    <definedName name="PRF_2_P1">#REF!</definedName>
    <definedName name="PRF_2_P2" localSheetId="8">#REF!</definedName>
    <definedName name="PRF_2_P2">#REF!</definedName>
    <definedName name="PRF_3_AN1" localSheetId="8">#REF!</definedName>
    <definedName name="PRF_3_AN1">#REF!</definedName>
    <definedName name="PRF_3_AN2" localSheetId="8">#REF!</definedName>
    <definedName name="PRF_3_AN2">#REF!</definedName>
    <definedName name="PRF_3_AN3" localSheetId="8">#REF!</definedName>
    <definedName name="PRF_3_AN3">#REF!</definedName>
    <definedName name="_xlnm.Print_Area" localSheetId="2">'ARR-Summary'!$A$1:$T$92</definedName>
    <definedName name="_xlnm.Print_Area" localSheetId="8">#REF!</definedName>
    <definedName name="_xlnm.Print_Area" localSheetId="31">'F12'!$A$1:$R$79</definedName>
    <definedName name="_xlnm.Print_Area" localSheetId="36">'F14.1'!$A$1:$Z$50</definedName>
    <definedName name="_xlnm.Print_Area" localSheetId="37">'F14.2'!$A$1:$Y$50</definedName>
    <definedName name="_xlnm.Print_Area" localSheetId="38">'F15'!$A$1:$M$58</definedName>
    <definedName name="_xlnm.Print_Area" localSheetId="41">'F18'!$A$1:$K$102</definedName>
    <definedName name="_xlnm.Print_Area" localSheetId="9">'F2'!$A$1:$S$169</definedName>
    <definedName name="_xlnm.Print_Area" localSheetId="10">'F2.1'!$A$1:$R$194</definedName>
    <definedName name="_xlnm.Print_Area" localSheetId="43">'F20'!$A$1:$J$126</definedName>
    <definedName name="_xlnm.Print_Area" localSheetId="18">'F4'!$A$1:$S$34</definedName>
    <definedName name="_xlnm.Print_Area" localSheetId="19">'F4.1'!$A$1:$O$102</definedName>
    <definedName name="_xlnm.Print_Area" localSheetId="20">'F4.2'!$A$1:$AG$54</definedName>
    <definedName name="_xlnm.Print_Area" localSheetId="21">'F4.3'!$A$1:$P$53</definedName>
    <definedName name="_xlnm.Print_Area" localSheetId="22">'F5'!$A$1:$O$87</definedName>
    <definedName name="_xlnm.Print_Area" localSheetId="23">'F5.1'!$A$1:$O$87</definedName>
    <definedName name="_xlnm.Print_Area" localSheetId="24">'F5.2'!$A$1:$O$87</definedName>
    <definedName name="_xlnm.Print_Area" localSheetId="26">'F7'!$A$1:$P$77</definedName>
    <definedName name="_xlnm.Print_Area">#REF!</definedName>
    <definedName name="PRINT_AREA_MI">#REF!</definedName>
    <definedName name="PRINT_AREA_MI1">#REF!</definedName>
    <definedName name="PRINT_AREA_MII">#REF!</definedName>
    <definedName name="Print_Area1">#REF!</definedName>
    <definedName name="Print_title">#REF!</definedName>
    <definedName name="_xlnm.Print_Titles" localSheetId="2">'ARR-Summary'!$2:$4</definedName>
    <definedName name="_xlnm.Print_Titles" localSheetId="3">'F1'!$2:$4</definedName>
    <definedName name="_xlnm.Print_Titles" localSheetId="4">'F1.1'!$2:$4</definedName>
    <definedName name="_xlnm.Print_Titles" localSheetId="8">#REF!</definedName>
    <definedName name="_xlnm.Print_Titles" localSheetId="41">'F18'!$3:$5</definedName>
    <definedName name="_xlnm.Print_Titles" localSheetId="9">'F2'!$2:$4</definedName>
    <definedName name="_xlnm.Print_Titles" localSheetId="43">'F20'!$2:$4</definedName>
    <definedName name="_xlnm.Print_Titles" localSheetId="15">'F3.3'!$2:$4</definedName>
    <definedName name="_xlnm.Print_Titles" localSheetId="16">'F3.4'!$2:$4</definedName>
    <definedName name="_xlnm.Print_Titles" localSheetId="22">'F5'!$2:$4</definedName>
    <definedName name="_xlnm.Print_Titles" localSheetId="23">'F5.1'!$2:$4</definedName>
    <definedName name="_xlnm.Print_Titles" localSheetId="24">'F5.2'!$2:$4</definedName>
    <definedName name="_xlnm.Print_Titles" localSheetId="25">'F6'!$2:$4</definedName>
    <definedName name="_xlnm.Print_Titles">#REF!</definedName>
    <definedName name="PRINT_TITLES_MI">#REF!</definedName>
    <definedName name="PRINT_TITLES_MI1">#REF!</definedName>
    <definedName name="Print02">[60]계측!$A$1:$H$749</definedName>
    <definedName name="PROC_NO1">#N/A</definedName>
    <definedName name="PROC_NO10">'[31]ITEM-LIST'!#REF!</definedName>
    <definedName name="PROC_NO11">'[31]ITEM-LIST'!#REF!</definedName>
    <definedName name="PROC_NO12">'[31]ITEM-LIST'!#REF!</definedName>
    <definedName name="PROC_NO13">'[31]ITEM-LIST'!#REF!</definedName>
    <definedName name="PROC_NO14">'[31]ITEM-LIST'!#REF!</definedName>
    <definedName name="PROC_NO15" localSheetId="8">'[31]ITEM-LIST'!#REF!</definedName>
    <definedName name="PROC_NO15">'[31]ITEM-LIST'!#REF!</definedName>
    <definedName name="PROC_NO2">#N/A</definedName>
    <definedName name="PROC_NO3">#N/A</definedName>
    <definedName name="PROC_NO4">#N/A</definedName>
    <definedName name="PROC_NO5">#N/A</definedName>
    <definedName name="PROC_NO6">#N/A</definedName>
    <definedName name="PROC_NO7">#N/A</definedName>
    <definedName name="PROC_NO8">#N/A</definedName>
    <definedName name="PROC_NO9" localSheetId="8">'[31]ITEM-LIST'!#REF!</definedName>
    <definedName name="PROC_NO9">'[31]ITEM-LIST'!#REF!</definedName>
    <definedName name="PROJECT_NAME">#REF!</definedName>
    <definedName name="PURCHASE">'[4]Financial Estimates'!#REF!</definedName>
    <definedName name="PURCOST">'[4]Financial Estimates'!#REF!</definedName>
    <definedName name="q">'[61]A 3.7'!$I$35,'[61]A 3.7'!$I$44</definedName>
    <definedName name="qq">#REF!</definedName>
    <definedName name="QQQ">[18]!QQQ</definedName>
    <definedName name="qqqqqqq3">[10]Notes!$A$6</definedName>
    <definedName name="QTY">#N/A</definedName>
    <definedName name="qwfwf">[10]BEST_17112006!$C$30</definedName>
    <definedName name="r_adj">'[62]FAC (Running FAC)'!$B$21:$P$44</definedName>
    <definedName name="R_I_Q_A_S">#N/A</definedName>
    <definedName name="r_kwh">#REF!</definedName>
    <definedName name="r_met">'[63]Metered Energy'!$B$3:$N$16</definedName>
    <definedName name="range">#REF!</definedName>
    <definedName name="RANGE1">#REF!</definedName>
    <definedName name="RANGE2">#REF!</definedName>
    <definedName name="RANGE3">#REF!</definedName>
    <definedName name="RASCO__3">#N/A</definedName>
    <definedName name="RASCO__A">#N/A</definedName>
    <definedName name="RATE">#N/A</definedName>
    <definedName name="RawAgencyPrice">#REF!</definedName>
    <definedName name="RBData">#REF!</definedName>
    <definedName name="rdtgreg">[10]BEST_17112006!$A$358</definedName>
    <definedName name="RE_SIZE">#REF!</definedName>
    <definedName name="RED">#REF!</definedName>
    <definedName name="REF_TRV">#N/A</definedName>
    <definedName name="rehigulh">'[10]B_S Group'!$H$94</definedName>
    <definedName name="REMARK">#N/A</definedName>
    <definedName name="Renu">'[64]License Area'!#REF!</definedName>
    <definedName name="Reselects">#REF!</definedName>
    <definedName name="Reserves_and_Surplus" localSheetId="8">#REF!</definedName>
    <definedName name="Reserves_and_Surplus">#REF!</definedName>
    <definedName name="REV_NO">'[31]ITEM-LIST'!#REF!</definedName>
    <definedName name="REVENUE">'[4]Financial Estimates'!#REF!</definedName>
    <definedName name="RFP003A">#REF!</definedName>
    <definedName name="RFP003B">#REF!</definedName>
    <definedName name="RFP003C">#REF!</definedName>
    <definedName name="RFP003D">#REF!</definedName>
    <definedName name="RFP003E">#REF!</definedName>
    <definedName name="RFP003F">#REF!</definedName>
    <definedName name="rid" localSheetId="45" hidden="1">{"'Sheet1'!$L$16"}</definedName>
    <definedName name="rid" localSheetId="46" hidden="1">{"'Sheet1'!$L$16"}</definedName>
    <definedName name="rid" localSheetId="53" hidden="1">{"'Sheet1'!$L$16"}</definedName>
    <definedName name="rid" localSheetId="8" hidden="1">{"'Sheet1'!$L$16"}</definedName>
    <definedName name="rid" localSheetId="20" hidden="1">{"'Sheet1'!$L$16"}</definedName>
    <definedName name="rid" hidden="1">{"'Sheet1'!$L$16"}</definedName>
    <definedName name="RNO">#N/A</definedName>
    <definedName name="ROOMAC_GEN_TA" localSheetId="8">#REF!</definedName>
    <definedName name="ROOMAC_GEN_TA">#REF!</definedName>
    <definedName name="ROOMAC_GEN_TD" localSheetId="8">#REF!</definedName>
    <definedName name="ROOMAC_GEN_TD">#REF!</definedName>
    <definedName name="RR">[26]현장지지물물량!$A$1:$IV$7</definedName>
    <definedName name="RRR">[65]현장지지물물량!$A$9:$N$23</definedName>
    <definedName name="RT">#N/A</definedName>
    <definedName name="rtg5rg">[10]BEST_17112006!$A$303</definedName>
    <definedName name="RTPNT">[11]!RTPNT</definedName>
    <definedName name="RTY_선택">#REF!</definedName>
    <definedName name="RVI" localSheetId="53" hidden="1">#REF!</definedName>
    <definedName name="RVI" localSheetId="8" hidden="1">#REF!</definedName>
    <definedName name="RVI" localSheetId="51" hidden="1">#REF!</definedName>
    <definedName name="RVI" localSheetId="36" hidden="1">#REF!</definedName>
    <definedName name="RVI" localSheetId="37" hidden="1">#REF!</definedName>
    <definedName name="RVI" hidden="1">#REF!</definedName>
    <definedName name="rytyh">[10]BEST_17112006!$A$248</definedName>
    <definedName name="S">#REF!</definedName>
    <definedName name="S.1.4.3" localSheetId="45" hidden="1">{"Edition",#N/A,FALSE,"Data"}</definedName>
    <definedName name="S.1.4.3" localSheetId="46" hidden="1">{"Edition",#N/A,FALSE,"Data"}</definedName>
    <definedName name="S.1.4.3" localSheetId="53" hidden="1">{"Edition",#N/A,FALSE,"Data"}</definedName>
    <definedName name="S.1.4.3" localSheetId="8" hidden="1">{"Edition",#N/A,FALSE,"Data"}</definedName>
    <definedName name="S.1.4.3" localSheetId="20" hidden="1">{"Edition",#N/A,FALSE,"Data"}</definedName>
    <definedName name="S.1.4.3" hidden="1">{"Edition",#N/A,FALSE,"Data"}</definedName>
    <definedName name="S_0">#REF!</definedName>
    <definedName name="S_1">#REF!</definedName>
    <definedName name="S_10">#REF!</definedName>
    <definedName name="S_11">#REF!</definedName>
    <definedName name="S_2">#REF!</definedName>
    <definedName name="S_3">#REF!</definedName>
    <definedName name="S_4">#REF!</definedName>
    <definedName name="S_5">#REF!</definedName>
    <definedName name="S_6">#REF!</definedName>
    <definedName name="S_7">#REF!</definedName>
    <definedName name="S_8">#REF!</definedName>
    <definedName name="S_9">#REF!</definedName>
    <definedName name="S_M_D_S">#N/A</definedName>
    <definedName name="S_No">#REF!</definedName>
    <definedName name="S_Tp">#REF!</definedName>
    <definedName name="saasawqw">[10]Notes!$A$15</definedName>
    <definedName name="sadqe">'[10]P&amp;L Group'!$A$58</definedName>
    <definedName name="sahshs">'[9]04REL'!#REF!</definedName>
    <definedName name="SALES">'[4]Financial Estimates'!#REF!</definedName>
    <definedName name="SALESPLAN">#REF!</definedName>
    <definedName name="SALESPROJ">#REF!</definedName>
    <definedName name="SAN">#N/A</definedName>
    <definedName name="SAP.003.SPA224_VALVES.KFP_AABBCC_CODE_VALVES">#REF!</definedName>
    <definedName name="SAP.003.SPA224_VALVES.KFP_CASING_MATERIAL">#REF!</definedName>
    <definedName name="SAP.003.SPA224_VALVES.KFP_DESCRIPTION">#REF!</definedName>
    <definedName name="SAP.003.SPA224_VALVES.KFP_DESCRIPTION_NATIVE">#REF!</definedName>
    <definedName name="SAP.003.SPA224_VALVES.KFP_DIMENSION_CONNECT_INLET">#REF!</definedName>
    <definedName name="SAP.003.SPA224_VALVES.KFP_DIMENSION_CONNECT_OUTLET">#REF!</definedName>
    <definedName name="SAP.003.SPA224_VALVES.KFP_DRAWING_NUMBER">#REF!</definedName>
    <definedName name="SAP.003.SPA224_VALVES.KFP_ENGINEERING_SZENARIO">#REF!</definedName>
    <definedName name="SAP.003.SPA224_VALVES.KFP_KKS">#REF!</definedName>
    <definedName name="SAP.003.SPA224_VALVES.KFP_KWU_VALVE_TYPE_CODE_1">#REF!</definedName>
    <definedName name="SAP.003.SPA224_VALVES.KFP_KWU_VALVE_TYPE_CODE_2">#REF!</definedName>
    <definedName name="SAP.003.SPA224_VALVES.KFP_MANUFACTURER">#REF!</definedName>
    <definedName name="SAP.003.SPA224_VALVES.KFP_MANUFACTURER_TYPE">#REF!</definedName>
    <definedName name="SAP.003.SPA224_VALVES.KFP_MAX_ALLOWED_WORK_PRESSURE">#REF!</definedName>
    <definedName name="SAP.003.SPA224_VALVES.KFP_MAX_ALLOWED_WORK_TEMP">#REF!</definedName>
    <definedName name="SAP.003.SPA224_VALVES.KFP_MEDIUM">#REF!</definedName>
    <definedName name="SAP.003.SPA224_VALVES.KFP_MIN_ALLOWED_WORK_PRESSURE">#REF!</definedName>
    <definedName name="SAP.003.SPA224_VALVES.KFP_NOMINAL_DIAMETER">#REF!</definedName>
    <definedName name="SAP.003.SPA224_VALVES.KFP_NOMINAL_PRESSURE">#REF!</definedName>
    <definedName name="SAP.003.SPA224_VALVES.KFP_ORIGIN_KEY">#REF!</definedName>
    <definedName name="SAP.003.SPA224_VALVES.KFP_PIPE_MATERIAL">#REF!</definedName>
    <definedName name="SAP.003.SPA224_VALVES.KFP_REMARK_VALVES">#REF!</definedName>
    <definedName name="SAP.003.SPA224_VALVES.KFP_ROOM_NUMBER_VALVES">#REF!</definedName>
    <definedName name="SAP.003.SPA224_VALVES.KFP_RPP_SOURCE">#REF!</definedName>
    <definedName name="SAP.003.SPA224_VALVES.KFP_STATUS_INPUT_VALVES">#REF!</definedName>
    <definedName name="SAP.003.SPA224_VALVES.KFP_TYPE_OF_ACTUATION">#REF!</definedName>
    <definedName name="SAP.003.SPA224_VALVES.KFP_TYPE_OF_CONNECT_INLET">#REF!</definedName>
    <definedName name="SAP.003.SPA224_VALVES.KFP_TYPE_OF_CONNECT_OUTLET">#REF!</definedName>
    <definedName name="SAP.003.SPA224_VALVES.KFP_VALVE_LENGTH">#REF!</definedName>
    <definedName name="SAP.003.SPA224_VALVES.KFP_WEIGHT">#REF!</definedName>
    <definedName name="SCH">#N/A</definedName>
    <definedName name="Schedule">#N/A</definedName>
    <definedName name="SCHEDULE_1">[66]BEST!#REF!</definedName>
    <definedName name="sCHEDULE_1_sHEET_1" localSheetId="8">#REF!</definedName>
    <definedName name="sCHEDULE_1_sHEET_1">#REF!</definedName>
    <definedName name="SCHEDULE_10" localSheetId="8">#REF!</definedName>
    <definedName name="SCHEDULE_10">#REF!</definedName>
    <definedName name="SCHEDULE_11" localSheetId="8">#REF!</definedName>
    <definedName name="SCHEDULE_11">#REF!</definedName>
    <definedName name="SCHEDULE_12" localSheetId="8">#REF!</definedName>
    <definedName name="SCHEDULE_12">#REF!</definedName>
    <definedName name="SCHEDULE_13" localSheetId="8">#REF!</definedName>
    <definedName name="SCHEDULE_13">#REF!</definedName>
    <definedName name="SCHEDULE_14" localSheetId="8">#REF!</definedName>
    <definedName name="SCHEDULE_14">#REF!</definedName>
    <definedName name="SCHEDULE_15" localSheetId="8">[66]BEST!#REF!</definedName>
    <definedName name="SCHEDULE_15">[66]BEST!#REF!</definedName>
    <definedName name="SCHEDULE_16" localSheetId="8">#REF!</definedName>
    <definedName name="SCHEDULE_16">#REF!</definedName>
    <definedName name="SCHEDULE_17" localSheetId="8">#REF!</definedName>
    <definedName name="SCHEDULE_17">#REF!</definedName>
    <definedName name="SCHEDULE_18" localSheetId="8">#REF!</definedName>
    <definedName name="SCHEDULE_18">#REF!</definedName>
    <definedName name="Schedule_2" localSheetId="8">#REF!</definedName>
    <definedName name="Schedule_2">#REF!</definedName>
    <definedName name="SCHEDULE_20" localSheetId="8">#REF!</definedName>
    <definedName name="SCHEDULE_20">#REF!</definedName>
    <definedName name="SCHEDULE_21" localSheetId="8">#REF!</definedName>
    <definedName name="SCHEDULE_21">#REF!</definedName>
    <definedName name="SCHEDULE_22" localSheetId="8">#REF!</definedName>
    <definedName name="SCHEDULE_22">#REF!</definedName>
    <definedName name="SCHEDULE_23" localSheetId="8">[66]BEST!#REF!</definedName>
    <definedName name="SCHEDULE_23">[66]BEST!#REF!</definedName>
    <definedName name="SCHEDULE_3" localSheetId="8">[66]BEST!#REF!</definedName>
    <definedName name="SCHEDULE_3">[66]BEST!#REF!</definedName>
    <definedName name="SCHEDULE_4" localSheetId="8">#REF!</definedName>
    <definedName name="SCHEDULE_4">#REF!</definedName>
    <definedName name="Schedule_4_Investment" localSheetId="8">#REF!</definedName>
    <definedName name="Schedule_4_Investment">#REF!</definedName>
    <definedName name="SCHEDULE_5" localSheetId="8">[66]BEST!#REF!</definedName>
    <definedName name="SCHEDULE_5">[66]BEST!#REF!</definedName>
    <definedName name="SCHEDULE_6" localSheetId="8">[66]BEST!#REF!</definedName>
    <definedName name="SCHEDULE_6">[66]BEST!#REF!</definedName>
    <definedName name="SCHEDULE_7" localSheetId="8">#REF!</definedName>
    <definedName name="SCHEDULE_7">#REF!</definedName>
    <definedName name="SCHEDULE_8" localSheetId="8">[66]BEST!#REF!</definedName>
    <definedName name="SCHEDULE_8">[66]BEST!#REF!</definedName>
    <definedName name="SCHEDULE_9" localSheetId="8">#REF!</definedName>
    <definedName name="SCHEDULE_9">#REF!</definedName>
    <definedName name="SCHEDULE_No." localSheetId="8">#REF!</definedName>
    <definedName name="SCHEDULE_No.">#REF!</definedName>
    <definedName name="Schedule_No2" localSheetId="8">[66]BEST!#REF!</definedName>
    <definedName name="Schedule_No2">[66]BEST!#REF!</definedName>
    <definedName name="Schedule2" localSheetId="8">#REF!</definedName>
    <definedName name="Schedule2">#REF!</definedName>
    <definedName name="SCOPE">'[11]해외 연수비용 계산-삭제'!#REF!</definedName>
    <definedName name="sd" localSheetId="45" hidden="1">{"'Sheet1'!$L$16"}</definedName>
    <definedName name="sd" localSheetId="46" hidden="1">{"'Sheet1'!$L$16"}</definedName>
    <definedName name="sd" localSheetId="53" hidden="1">{"'Sheet1'!$L$16"}</definedName>
    <definedName name="sd" localSheetId="8" hidden="1">{"'Sheet1'!$L$16"}</definedName>
    <definedName name="sd" localSheetId="20" hidden="1">{"'Sheet1'!$L$16"}</definedName>
    <definedName name="sd" hidden="1">{"'Sheet1'!$L$16"}</definedName>
    <definedName name="sdd">'[10]P&amp;L Group'!$A$68</definedName>
    <definedName name="sddddddd">[10]Notes!$A$23</definedName>
    <definedName name="sdddddddd">[10]Notes!$A$51</definedName>
    <definedName name="sdfdfhf">'[10]B_S Group'!$H$251</definedName>
    <definedName name="sdfsds">[10]Notes!$A$49</definedName>
    <definedName name="sdfsfsdf">[10]Notes!$A$47</definedName>
    <definedName name="sdsfszsfzs" localSheetId="8">#REF!,#REF!</definedName>
    <definedName name="sdsfszsfzs">#REF!,#REF!</definedName>
    <definedName name="SDT">#N/A</definedName>
    <definedName name="SECOAL" localSheetId="8">#REF!</definedName>
    <definedName name="SECOAL">#REF!</definedName>
    <definedName name="See_Annexure_B.PL" localSheetId="8">#REF!</definedName>
    <definedName name="See_Annexure_B.PL">#REF!</definedName>
    <definedName name="See_Notes_1" localSheetId="8">#REF!</definedName>
    <definedName name="See_Notes_1">#REF!</definedName>
    <definedName name="Selling_Dist_Schedule" localSheetId="8">[66]BEST!#REF!</definedName>
    <definedName name="Selling_Dist_Schedule">[66]BEST!#REF!</definedName>
    <definedName name="SEOREP" localSheetId="8">#REF!</definedName>
    <definedName name="SEOREP">#REF!</definedName>
    <definedName name="SER">#N/A</definedName>
    <definedName name="SEREPORT" localSheetId="8">#REF!</definedName>
    <definedName name="SEREPORT">#REF!</definedName>
    <definedName name="sfgvegvb">[10]BEST_17112006!$C$15</definedName>
    <definedName name="sgggg">[10]BEST_17112006!$A$225</definedName>
    <definedName name="SHEET">#REF!</definedName>
    <definedName name="shft1">[43]SUMMERY!$P$1</definedName>
    <definedName name="shftI">[67]SUMMERY!$P$1</definedName>
    <definedName name="shshshsh" localSheetId="8">#REF!,#REF!</definedName>
    <definedName name="shshshsh">#REF!,#REF!</definedName>
    <definedName name="siertireyi">'[10]B_S Group'!$H$83</definedName>
    <definedName name="SIMHP1">#REF!</definedName>
    <definedName name="SIMLP1">#REF!</definedName>
    <definedName name="SIZE">#REF!</definedName>
    <definedName name="SIZE1">#N/A</definedName>
    <definedName name="SIZEC">#REF!</definedName>
    <definedName name="sjrijteodgv">'[10]B_S Group'!$H$67</definedName>
    <definedName name="SMLTOOLS">#REF!</definedName>
    <definedName name="sndgkhdgk">'[10]B_S Group'!$H$303</definedName>
    <definedName name="SO">#REF!</definedName>
    <definedName name="SO_CODE">'[31]ITEM-LIST'!#REF!</definedName>
    <definedName name="SO_NAME">'[31]ITEM-LIST'!#REF!</definedName>
    <definedName name="SOL">#REF!</definedName>
    <definedName name="SONIK">#REF!</definedName>
    <definedName name="SPA224_VALVES_COMPARE_COL">#REF!</definedName>
    <definedName name="SPA224_VALVES_ERROR_COL">#REF!</definedName>
    <definedName name="SPEC">#N/A</definedName>
    <definedName name="SS">[19]현장지지물물량!$A$1:$IV$8</definedName>
    <definedName name="sss">#N/A</definedName>
    <definedName name="sssssss">'[68]#REF'!#REF!</definedName>
    <definedName name="ssssssss">#N/A</definedName>
    <definedName name="sssssssss">[10]Notes!$A$13</definedName>
    <definedName name="ssssssssss">[10]Notes!$A$53</definedName>
    <definedName name="sssssssssssss34">[10]Notes!$A$55</definedName>
    <definedName name="ST_TYPE">#REF!</definedName>
    <definedName name="STATICAC_GEN_TA" localSheetId="8">#REF!</definedName>
    <definedName name="STATICAC_GEN_TA">#REF!</definedName>
    <definedName name="STATICAC_GEN_TD" localSheetId="8">#REF!</definedName>
    <definedName name="STATICAC_GEN_TD">#REF!</definedName>
    <definedName name="steam_trap">#REF!</definedName>
    <definedName name="STORES" localSheetId="8">[69]BEST_17102006!#REF!</definedName>
    <definedName name="STORES">[69]BEST_17102006!#REF!</definedName>
    <definedName name="Stores_1" localSheetId="8">[69]BEST_17102006!#REF!</definedName>
    <definedName name="Stores_1">[69]BEST_17102006!#REF!</definedName>
    <definedName name="STORES_2" localSheetId="8">[69]BEST_17102006!#REF!</definedName>
    <definedName name="STORES_2">[69]BEST_17102006!#REF!</definedName>
    <definedName name="Stores_CurrentAsset" localSheetId="8">#REF!</definedName>
    <definedName name="Stores_CurrentAsset">#REF!</definedName>
    <definedName name="sTREETLAMP_ES_TA" localSheetId="8">#REF!</definedName>
    <definedName name="sTREETLAMP_ES_TA">#REF!</definedName>
    <definedName name="STREETLAMP_ES_TD" localSheetId="8">#REF!</definedName>
    <definedName name="STREETLAMP_ES_TD">#REF!</definedName>
    <definedName name="StressTables">#REF!</definedName>
    <definedName name="SUFF">#N/A</definedName>
    <definedName name="Sum_No">#REF!</definedName>
    <definedName name="SUMMARY">#REF!</definedName>
    <definedName name="supno">[70]INDEX!$B$1:$C$65536</definedName>
    <definedName name="SUPNO1">#REF!</definedName>
    <definedName name="SUPP">#REF!</definedName>
    <definedName name="svsdhv">[10]BEST_17112006!$A$364</definedName>
    <definedName name="SWITCHGEAR_ES_TA" localSheetId="8">#REF!</definedName>
    <definedName name="SWITCHGEAR_ES_TA">#REF!</definedName>
    <definedName name="SWITCHGEAR_ES_TD" localSheetId="8">#REF!</definedName>
    <definedName name="SWITCHGEAR_ES_TD">#REF!</definedName>
    <definedName name="SWITCHGERA_ES_TA" localSheetId="8">#REF!</definedName>
    <definedName name="SWITCHGERA_ES_TA">#REF!</definedName>
    <definedName name="SYSTEM">#N/A</definedName>
    <definedName name="t" localSheetId="8">#REF!</definedName>
    <definedName name="t">#REF!</definedName>
    <definedName name="T_2">#N/A</definedName>
    <definedName name="T_3">#N/A</definedName>
    <definedName name="T_4">#N/A</definedName>
    <definedName name="T_COMP_DATA">#REF!</definedName>
    <definedName name="T_COMP_선택">#REF!</definedName>
    <definedName name="T1_">#N/A</definedName>
    <definedName name="T2_">#N/A</definedName>
    <definedName name="Table">#REF!</definedName>
    <definedName name="Table1">#REF!</definedName>
    <definedName name="TAR">#REF!</definedName>
    <definedName name="TAXONSALE">#REF!</definedName>
    <definedName name="TaxPaid10">[42]Assumptions!$B$22</definedName>
    <definedName name="TaxRate11">[42]Assumptions!$B$20</definedName>
    <definedName name="Taxrate12" localSheetId="8">#REF!</definedName>
    <definedName name="Taxrate12">#REF!</definedName>
    <definedName name="TEE">#REF!</definedName>
    <definedName name="temp_strainer">#REF!</definedName>
    <definedName name="TEMP2">#N/A</definedName>
    <definedName name="TEMP3">#N/A</definedName>
    <definedName name="TEMP8">#N/A</definedName>
    <definedName name="TEMP9">#N/A</definedName>
    <definedName name="TEST0">'[71]May 05'!$A$2:$D$84</definedName>
    <definedName name="TEST1">#REF!</definedName>
    <definedName name="TEST2">#REF!</definedName>
    <definedName name="TEST3">[72]Sheet1!#REF!</definedName>
    <definedName name="TEST4">[72]Sheet1!#REF!</definedName>
    <definedName name="TESTHKEY">#REF!</definedName>
    <definedName name="TESTKEYS">#REF!</definedName>
    <definedName name="TESTVKEY">#REF!</definedName>
    <definedName name="tgasvs">[10]BEST_17112006!$C$77</definedName>
    <definedName name="The_Netherlands">#REF!</definedName>
    <definedName name="THK">#REF!</definedName>
    <definedName name="tidf" localSheetId="45" hidden="1">{"'Sheet1'!$L$16"}</definedName>
    <definedName name="tidf" localSheetId="46" hidden="1">{"'Sheet1'!$L$16"}</definedName>
    <definedName name="tidf" localSheetId="53" hidden="1">{"'Sheet1'!$L$16"}</definedName>
    <definedName name="tidf" localSheetId="8" hidden="1">{"'Sheet1'!$L$16"}</definedName>
    <definedName name="tidf" localSheetId="20" hidden="1">{"'Sheet1'!$L$16"}</definedName>
    <definedName name="tidf" hidden="1">{"'Sheet1'!$L$16"}</definedName>
    <definedName name="TMP">#REF!</definedName>
    <definedName name="TOL">#REF!</definedName>
    <definedName name="TON">#N/A</definedName>
    <definedName name="TOOL_GEN_TA" localSheetId="8">#REF!</definedName>
    <definedName name="TOOL_GEN_TA">#REF!</definedName>
    <definedName name="TOOL_GEN_TD" localSheetId="8">#REF!</definedName>
    <definedName name="TOOL_GEN_TD">#REF!</definedName>
    <definedName name="TOTAL">"TOTAL+'990309 수정'!$A$5:$AE$501"</definedName>
    <definedName name="total19">#REF!</definedName>
    <definedName name="total20">#REF!</definedName>
    <definedName name="total21">#REF!</definedName>
    <definedName name="total22">#REF!</definedName>
    <definedName name="total23">#REF!</definedName>
    <definedName name="totalin">#REF!</definedName>
    <definedName name="TotalRoE10">[42]Assumptions!$B$23</definedName>
    <definedName name="totalwi">#REF!</definedName>
    <definedName name="TOTALWT">#N/A</definedName>
    <definedName name="TRANSFORMER_ES_TA" localSheetId="8">#REF!</definedName>
    <definedName name="TRANSFORMER_ES_TA">#REF!</definedName>
    <definedName name="TRANSFORMER_ES_TD" localSheetId="8">#REF!</definedName>
    <definedName name="TRANSFORMER_ES_TD">#REF!</definedName>
    <definedName name="tripping" localSheetId="8">#REF!</definedName>
    <definedName name="tripping">#REF!</definedName>
    <definedName name="TRV_LT" localSheetId="8">'[31]ITEM-LIST'!#REF!</definedName>
    <definedName name="TRV_LT">'[31]ITEM-LIST'!#REF!</definedName>
    <definedName name="TRV_NO">#N/A</definedName>
    <definedName name="TRVNO">#N/A</definedName>
    <definedName name="ttt" localSheetId="45" hidden="1">{"'장비'!$A$3:$M$12"}</definedName>
    <definedName name="ttt" localSheetId="46" hidden="1">{"'장비'!$A$3:$M$12"}</definedName>
    <definedName name="ttt" localSheetId="53" hidden="1">{"'장비'!$A$3:$M$12"}</definedName>
    <definedName name="ttt" localSheetId="8" hidden="1">{"'장비'!$A$3:$M$12"}</definedName>
    <definedName name="ttt" localSheetId="20" hidden="1">{"'장비'!$A$3:$M$12"}</definedName>
    <definedName name="ttt" hidden="1">{"'장비'!$A$3:$M$12"}</definedName>
    <definedName name="tube_test_press1_12">#REF!</definedName>
    <definedName name="TYPE">#N/A</definedName>
    <definedName name="U">#N/A</definedName>
    <definedName name="ue____Iª">#N/A</definedName>
    <definedName name="UM">#N/A</definedName>
    <definedName name="UMMALNAR">#REF!</definedName>
    <definedName name="UNION">#REF!</definedName>
    <definedName name="UNIT">#N/A</definedName>
    <definedName name="uNIT1" localSheetId="8">#REF!</definedName>
    <definedName name="uNIT1">#REF!</definedName>
    <definedName name="uNIT2" localSheetId="8">#REF!</definedName>
    <definedName name="uNIT2">#REF!</definedName>
    <definedName name="uNIT3" localSheetId="8">#REF!</definedName>
    <definedName name="uNIT3">#REF!</definedName>
    <definedName name="UNITWT">#N/A</definedName>
    <definedName name="Unsecured_Loans" localSheetId="8">#REF!</definedName>
    <definedName name="Unsecured_Loans">#REF!</definedName>
    <definedName name="USD">'[11]#REF'!$E$24</definedName>
    <definedName name="ut" localSheetId="45" hidden="1">{"'Sheet1'!$L$16"}</definedName>
    <definedName name="ut" localSheetId="46" hidden="1">{"'Sheet1'!$L$16"}</definedName>
    <definedName name="ut" localSheetId="53" hidden="1">{"'Sheet1'!$L$16"}</definedName>
    <definedName name="ut" localSheetId="8" hidden="1">{"'Sheet1'!$L$16"}</definedName>
    <definedName name="ut" localSheetId="20" hidden="1">{"'Sheet1'!$L$16"}</definedName>
    <definedName name="ut" hidden="1">{"'Sheet1'!$L$16"}</definedName>
    <definedName name="UTPNT">[11]!UTPNT</definedName>
    <definedName name="UW">#N/A</definedName>
    <definedName name="V_0">#REF!</definedName>
    <definedName name="V_1">#REF!</definedName>
    <definedName name="V_10">#REF!</definedName>
    <definedName name="V_11">#REF!</definedName>
    <definedName name="V_2">#REF!</definedName>
    <definedName name="V_3">#REF!</definedName>
    <definedName name="V_4">#REF!</definedName>
    <definedName name="V_5">#REF!</definedName>
    <definedName name="V_6">#REF!</definedName>
    <definedName name="V_7">#REF!</definedName>
    <definedName name="V_8">#REF!</definedName>
    <definedName name="V_9">#REF!</definedName>
    <definedName name="V_No">#REF!</definedName>
    <definedName name="V_Tp">#REF!</definedName>
    <definedName name="Val_No">#REF!</definedName>
    <definedName name="VALVE">#N/A</definedName>
    <definedName name="van">[30]CondPol!$F$69</definedName>
    <definedName name="vani">[30]MixBed!#REF!</definedName>
    <definedName name="vani1">[30]MixBed!#REF!</definedName>
    <definedName name="vcat">[30]CondPol!$F$68</definedName>
    <definedName name="vcati">[30]MixBed!#REF!</definedName>
    <definedName name="vcati1">[30]MixBed!#REF!</definedName>
    <definedName name="VDES">#N/A</definedName>
    <definedName name="VDR_COMP">#REF!</definedName>
    <definedName name="VDR_COMP1">#REF!</definedName>
    <definedName name="VDR_선택">#REF!</definedName>
    <definedName name="VDR_선택1">#REF!</definedName>
    <definedName name="vdsvfkj">'[10]B_S Group'!$H$284</definedName>
    <definedName name="VEND">#N/A</definedName>
    <definedName name="Vendoroyalty">[73]Code!$D$23:$D$51</definedName>
    <definedName name="vf" localSheetId="45" hidden="1">{"'Sheet1'!$L$16"}</definedName>
    <definedName name="vf" localSheetId="46" hidden="1">{"'Sheet1'!$L$16"}</definedName>
    <definedName name="vf" localSheetId="53" hidden="1">{"'Sheet1'!$L$16"}</definedName>
    <definedName name="vf" localSheetId="8" hidden="1">{"'Sheet1'!$L$16"}</definedName>
    <definedName name="vf" localSheetId="20" hidden="1">{"'Sheet1'!$L$16"}</definedName>
    <definedName name="vf" hidden="1">{"'Sheet1'!$L$16"}</definedName>
    <definedName name="vinert">[30]CondPol!$F$70</definedName>
    <definedName name="vn" localSheetId="45" hidden="1">{"'Sheet1'!$L$16"}</definedName>
    <definedName name="vn" localSheetId="46" hidden="1">{"'Sheet1'!$L$16"}</definedName>
    <definedName name="vn" localSheetId="53" hidden="1">{"'Sheet1'!$L$16"}</definedName>
    <definedName name="vn" localSheetId="8" hidden="1">{"'Sheet1'!$L$16"}</definedName>
    <definedName name="vn" localSheetId="20" hidden="1">{"'Sheet1'!$L$16"}</definedName>
    <definedName name="vn" hidden="1">{"'Sheet1'!$L$16"}</definedName>
    <definedName name="vo">#REF!</definedName>
    <definedName name="vtot">[30]CondPol!$F$71</definedName>
    <definedName name="W">#REF!</definedName>
    <definedName name="WC">#N/A</definedName>
    <definedName name="WEEK_1A" localSheetId="8">#REF!</definedName>
    <definedName name="WEEK_1A">#REF!</definedName>
    <definedName name="WEEK_1B" localSheetId="8">#REF!</definedName>
    <definedName name="WEEK_1B">#REF!</definedName>
    <definedName name="WEEK_2A" localSheetId="8">#REF!</definedName>
    <definedName name="WEEK_2A">#REF!</definedName>
    <definedName name="WEEK_2B" localSheetId="8">#REF!</definedName>
    <definedName name="WEEK_2B">#REF!</definedName>
    <definedName name="wefc" localSheetId="8">[10]BEST_17112006!#REF!</definedName>
    <definedName name="wefc">[10]BEST_17112006!#REF!</definedName>
    <definedName name="wefevsdg">[10]BEST_17112006!$A$415:$M$419</definedName>
    <definedName name="wehrt3uyt">'[10]B_S Group'!$H$21</definedName>
    <definedName name="weki_9701.xls" localSheetId="45" hidden="1">'[21]Eq. Mobilization'!#REF!</definedName>
    <definedName name="weki_9701.xls" localSheetId="46" hidden="1">'[21]Eq. Mobilization'!#REF!</definedName>
    <definedName name="weki_9701.xls" localSheetId="53" hidden="1">'[21]Eq. Mobilization'!#REF!</definedName>
    <definedName name="weki_9701.xls" localSheetId="8" hidden="1">'[21]Eq. Mobilization'!#REF!</definedName>
    <definedName name="weki_9701.xls" localSheetId="51" hidden="1">'[21]Eq. Mobilization'!#REF!</definedName>
    <definedName name="weki_9701.xls" localSheetId="36" hidden="1">'[21]Eq. Mobilization'!#REF!</definedName>
    <definedName name="weki_9701.xls" localSheetId="37" hidden="1">'[21]Eq. Mobilization'!#REF!</definedName>
    <definedName name="weki_9701.xls" hidden="1">'[21]Eq. Mobilization'!#REF!</definedName>
    <definedName name="wekir9701.xls" localSheetId="46" hidden="1">'[21]Eq. Mobilization'!#REF!</definedName>
    <definedName name="wekir9701.xls" localSheetId="53" hidden="1">'[21]Eq. Mobilization'!#REF!</definedName>
    <definedName name="wekir9701.xls" localSheetId="8" hidden="1">'[21]Eq. Mobilization'!#REF!</definedName>
    <definedName name="wekir9701.xls" localSheetId="51" hidden="1">'[21]Eq. Mobilization'!#REF!</definedName>
    <definedName name="wekir9701.xls" localSheetId="36" hidden="1">'[21]Eq. Mobilization'!#REF!</definedName>
    <definedName name="wekir9701.xls" localSheetId="37" hidden="1">'[21]Eq. Mobilization'!#REF!</definedName>
    <definedName name="wekir9701.xls" hidden="1">'[21]Eq. Mobilization'!#REF!</definedName>
    <definedName name="WHEELING">'[4]Financial Estimates'!#REF!</definedName>
    <definedName name="wmdeo">#N/A</definedName>
    <definedName name="WOL">#REF!</definedName>
    <definedName name="Working_capital_Rate_of_Interest_for_FY_10_11">[32]Assumption_PwC!$C$116</definedName>
    <definedName name="wrn.Dispatch._.Workbook." localSheetId="8" hidden="1">{"loss",#N/A,TRUE,"Losses";"agg-demand",#N/A,TRUE,"Demand";"disagg-demand",#N/A,TRUE,"Demand";"summ-demand",#N/A,TRUE,"Demand";"mix-demand",#N/A,TRUE,"Demand";"consump-demand",#N/A,TRUE,"Demand";"avail-demand",#N/A,TRUE,"Demand";"dispatch",#N/A,TRUE,"Dispatch";"existing_plants",#N/A,TRUE,"Existing_Plants";"ipp_base",#N/A,TRUE,"New_Plants";"ipp_tariff",#N/A,TRUE,"New_Plants";"ipp_summ",#N/A,TRUE,"New_Plants";"newcpsu_assump",#N/A,TRUE,"New_Plants";"newcpsu_summ",#N/A,TRUE,"New_Plants"}</definedName>
    <definedName name="wrn.Dispatch._.Workbook." localSheetId="20" hidden="1">{"loss",#N/A,TRUE,"Losses";"agg-demand",#N/A,TRUE,"Demand";"disagg-demand",#N/A,TRUE,"Demand";"summ-demand",#N/A,TRUE,"Demand";"mix-demand",#N/A,TRUE,"Demand";"consump-demand",#N/A,TRUE,"Demand";"avail-demand",#N/A,TRUE,"Demand";"dispatch",#N/A,TRUE,"Dispatch";"existing_plants",#N/A,TRUE,"Existing_Plants";"ipp_base",#N/A,TRUE,"New_Plants";"ipp_tariff",#N/A,TRUE,"New_Plants";"ipp_summ",#N/A,TRUE,"New_Plants";"newcpsu_assump",#N/A,TRUE,"New_Plants";"newcpsu_summ",#N/A,TRUE,"New_Plants"}</definedName>
    <definedName name="wrn.Dispatch._.Workbook." hidden="1">{"loss",#N/A,TRUE,"Losses";"agg-demand",#N/A,TRUE,"Demand";"disagg-demand",#N/A,TRUE,"Demand";"summ-demand",#N/A,TRUE,"Demand";"mix-demand",#N/A,TRUE,"Demand";"consump-demand",#N/A,TRUE,"Demand";"avail-demand",#N/A,TRUE,"Demand";"dispatch",#N/A,TRUE,"Dispatch";"existing_plants",#N/A,TRUE,"Existing_Plants";"ipp_base",#N/A,TRUE,"New_Plants";"ipp_tariff",#N/A,TRUE,"New_Plants";"ipp_summ",#N/A,TRUE,"New_Plants";"newcpsu_assump",#N/A,TRUE,"New_Plants";"newcpsu_summ",#N/A,TRUE,"New_Plants"}</definedName>
    <definedName name="wrn.Scope._.of._.Supply._.Mechanical." localSheetId="45" hidden="1">{#N/A,#N/A,FALSE,"Mechanical"}</definedName>
    <definedName name="wrn.Scope._.of._.Supply._.Mechanical." localSheetId="46" hidden="1">{#N/A,#N/A,FALSE,"Mechanical"}</definedName>
    <definedName name="wrn.Scope._.of._.Supply._.Mechanical." localSheetId="53" hidden="1">{#N/A,#N/A,FALSE,"Mechanical"}</definedName>
    <definedName name="wrn.Scope._.of._.Supply._.Mechanical." localSheetId="8" hidden="1">{#N/A,#N/A,FALSE,"Mechanical"}</definedName>
    <definedName name="wrn.Scope._.of._.Supply._.Mechanical." localSheetId="20" hidden="1">{#N/A,#N/A,FALSE,"Mechanical"}</definedName>
    <definedName name="wrn.Scope._.of._.Supply._.Mechanical." hidden="1">{#N/A,#N/A,FALSE,"Mechanical"}</definedName>
    <definedName name="wrn.testrpt." localSheetId="45" hidden="1">{"Edition",#N/A,FALSE,"Data"}</definedName>
    <definedName name="wrn.testrpt." localSheetId="46" hidden="1">{"Edition",#N/A,FALSE,"Data"}</definedName>
    <definedName name="wrn.testrpt." localSheetId="53" hidden="1">{"Edition",#N/A,FALSE,"Data"}</definedName>
    <definedName name="wrn.testrpt." localSheetId="8" hidden="1">{"Edition",#N/A,FALSE,"Data"}</definedName>
    <definedName name="wrn.testrpt." localSheetId="20" hidden="1">{"Edition",#N/A,FALSE,"Data"}</definedName>
    <definedName name="wrn.testrpt." hidden="1">{"Edition",#N/A,FALSE,"Data"}</definedName>
    <definedName name="www">#REF!</definedName>
    <definedName name="wwww">'[74]License Area'!#REF!</definedName>
    <definedName name="X" localSheetId="45" hidden="1">'[25]Eq. Mobilization'!#REF!</definedName>
    <definedName name="X" localSheetId="53" hidden="1">'[27]Eq. Mobilization'!#REF!</definedName>
    <definedName name="X" localSheetId="8" hidden="1">'[27]Eq. Mobilization'!#REF!</definedName>
    <definedName name="X" localSheetId="51" hidden="1">'[28]Eq. Mobilization'!#REF!</definedName>
    <definedName name="X" localSheetId="36" hidden="1">'[28]Eq. Mobilization'!#REF!</definedName>
    <definedName name="X" localSheetId="37" hidden="1">'[28]Eq. Mobilization'!#REF!</definedName>
    <definedName name="X" hidden="1">'[28]Eq. Mobilization'!#REF!</definedName>
    <definedName name="X1_" localSheetId="8">#REF!</definedName>
    <definedName name="X1_">#REF!</definedName>
    <definedName name="X11__?___QUIT_" localSheetId="8">#REF!</definedName>
    <definedName name="X11__?___QUIT_">#REF!</definedName>
    <definedName name="xcxcxcc" localSheetId="8">#REF!</definedName>
    <definedName name="xcxcxcc">#REF!</definedName>
    <definedName name="xcxvxv" localSheetId="8">'[9]04REL'!#REF!</definedName>
    <definedName name="xcxvxv">'[9]04REL'!#REF!</definedName>
    <definedName name="xczczczc" localSheetId="8">#REF!</definedName>
    <definedName name="xczczczc">#REF!</definedName>
    <definedName name="xczxzxz" localSheetId="8">#REF!,#REF!</definedName>
    <definedName name="xczxzxz">#REF!,#REF!</definedName>
    <definedName name="xfzdsfzsf" localSheetId="8">#REF!</definedName>
    <definedName name="xfzdsfzsf">#REF!</definedName>
    <definedName name="xls">#REF!</definedName>
    <definedName name="XREF_COLUMN_1" localSheetId="45" hidden="1">[75]MASTER!#REF!</definedName>
    <definedName name="XREF_COLUMN_1" localSheetId="53" hidden="1">[76]MASTER!#REF!</definedName>
    <definedName name="XREF_COLUMN_1" localSheetId="8" hidden="1">[76]MASTER!#REF!</definedName>
    <definedName name="XREF_COLUMN_1" localSheetId="51" hidden="1">[77]MASTER!#REF!</definedName>
    <definedName name="XREF_COLUMN_1" localSheetId="36" hidden="1">[77]MASTER!#REF!</definedName>
    <definedName name="XREF_COLUMN_1" localSheetId="37" hidden="1">[77]MASTER!#REF!</definedName>
    <definedName name="XREF_COLUMN_1" hidden="1">[77]MASTER!#REF!</definedName>
    <definedName name="XREF_COLUMN_10" localSheetId="45" hidden="1">#REF!</definedName>
    <definedName name="XREF_COLUMN_10" localSheetId="46" hidden="1">#REF!</definedName>
    <definedName name="XREF_COLUMN_10" localSheetId="53" hidden="1">#REF!</definedName>
    <definedName name="XREF_COLUMN_10" localSheetId="8" hidden="1">#REF!</definedName>
    <definedName name="XREF_COLUMN_10" localSheetId="51" hidden="1">#REF!</definedName>
    <definedName name="XREF_COLUMN_10" localSheetId="36" hidden="1">#REF!</definedName>
    <definedName name="XREF_COLUMN_10" localSheetId="37" hidden="1">#REF!</definedName>
    <definedName name="XREF_COLUMN_10" hidden="1">#REF!</definedName>
    <definedName name="XREF_COLUMN_11" localSheetId="53" hidden="1">#REF!</definedName>
    <definedName name="XREF_COLUMN_11" localSheetId="8" hidden="1">#REF!</definedName>
    <definedName name="XREF_COLUMN_11" localSheetId="51" hidden="1">#REF!</definedName>
    <definedName name="XREF_COLUMN_11" localSheetId="36" hidden="1">#REF!</definedName>
    <definedName name="XREF_COLUMN_11" localSheetId="37" hidden="1">#REF!</definedName>
    <definedName name="XREF_COLUMN_11" hidden="1">#REF!</definedName>
    <definedName name="XREF_COLUMN_14" localSheetId="53" hidden="1">#REF!</definedName>
    <definedName name="XREF_COLUMN_14" localSheetId="8" hidden="1">#REF!</definedName>
    <definedName name="XREF_COLUMN_14" localSheetId="51" hidden="1">#REF!</definedName>
    <definedName name="XREF_COLUMN_14" localSheetId="36" hidden="1">#REF!</definedName>
    <definedName name="XREF_COLUMN_14" localSheetId="37" hidden="1">#REF!</definedName>
    <definedName name="XREF_COLUMN_14" hidden="1">#REF!</definedName>
    <definedName name="XREF_COLUMN_2" localSheetId="45" hidden="1">[75]MASTER!#REF!</definedName>
    <definedName name="XREF_COLUMN_2" localSheetId="53" hidden="1">[76]MASTER!#REF!</definedName>
    <definedName name="XREF_COLUMN_2" localSheetId="8" hidden="1">[76]MASTER!#REF!</definedName>
    <definedName name="XREF_COLUMN_2" localSheetId="51" hidden="1">[77]MASTER!#REF!</definedName>
    <definedName name="XREF_COLUMN_2" localSheetId="36" hidden="1">[77]MASTER!#REF!</definedName>
    <definedName name="XREF_COLUMN_2" localSheetId="37" hidden="1">[77]MASTER!#REF!</definedName>
    <definedName name="XREF_COLUMN_2" hidden="1">[77]MASTER!#REF!</definedName>
    <definedName name="XREF_COLUMN_4" localSheetId="45" hidden="1">#REF!</definedName>
    <definedName name="XREF_COLUMN_4" localSheetId="46" hidden="1">#REF!</definedName>
    <definedName name="XREF_COLUMN_4" localSheetId="53" hidden="1">#REF!</definedName>
    <definedName name="XREF_COLUMN_4" localSheetId="8" hidden="1">#REF!</definedName>
    <definedName name="XREF_COLUMN_4" localSheetId="51" hidden="1">#REF!</definedName>
    <definedName name="XREF_COLUMN_4" localSheetId="36" hidden="1">#REF!</definedName>
    <definedName name="XREF_COLUMN_4" localSheetId="37" hidden="1">#REF!</definedName>
    <definedName name="XREF_COLUMN_4" hidden="1">#REF!</definedName>
    <definedName name="XREF_COLUMN_7" localSheetId="53" hidden="1">#REF!</definedName>
    <definedName name="XREF_COLUMN_7" localSheetId="8" hidden="1">#REF!</definedName>
    <definedName name="XREF_COLUMN_7" localSheetId="51" hidden="1">#REF!</definedName>
    <definedName name="XREF_COLUMN_7" localSheetId="36" hidden="1">#REF!</definedName>
    <definedName name="XREF_COLUMN_7" localSheetId="37" hidden="1">#REF!</definedName>
    <definedName name="XREF_COLUMN_7" hidden="1">#REF!</definedName>
    <definedName name="XREF_COLUMN_9" localSheetId="53" hidden="1">#REF!</definedName>
    <definedName name="XREF_COLUMN_9" localSheetId="8" hidden="1">#REF!</definedName>
    <definedName name="XREF_COLUMN_9" localSheetId="51" hidden="1">#REF!</definedName>
    <definedName name="XREF_COLUMN_9" localSheetId="36" hidden="1">#REF!</definedName>
    <definedName name="XREF_COLUMN_9" localSheetId="37" hidden="1">#REF!</definedName>
    <definedName name="XREF_COLUMN_9" hidden="1">#REF!</definedName>
    <definedName name="XRefActiveRow" localSheetId="53" hidden="1">#REF!</definedName>
    <definedName name="XRefActiveRow" localSheetId="8" hidden="1">#REF!</definedName>
    <definedName name="XRefActiveRow" localSheetId="51" hidden="1">#REF!</definedName>
    <definedName name="XRefActiveRow" localSheetId="36" hidden="1">#REF!</definedName>
    <definedName name="XRefActiveRow" localSheetId="37" hidden="1">#REF!</definedName>
    <definedName name="XRefActiveRow" hidden="1">#REF!</definedName>
    <definedName name="XRefColumnsCount" hidden="1">14</definedName>
    <definedName name="XRefCopy11" localSheetId="45" hidden="1">#REF!</definedName>
    <definedName name="XRefCopy11" localSheetId="46" hidden="1">#REF!</definedName>
    <definedName name="XRefCopy11" localSheetId="53" hidden="1">#REF!</definedName>
    <definedName name="XRefCopy11" localSheetId="8" hidden="1">#REF!</definedName>
    <definedName name="XRefCopy11" localSheetId="51" hidden="1">#REF!</definedName>
    <definedName name="XRefCopy11" localSheetId="36" hidden="1">#REF!</definedName>
    <definedName name="XRefCopy11" localSheetId="37" hidden="1">#REF!</definedName>
    <definedName name="XRefCopy11" hidden="1">#REF!</definedName>
    <definedName name="XRefCopy12Row" localSheetId="45" hidden="1">[78]XREF!#REF!</definedName>
    <definedName name="XRefCopy12Row" localSheetId="46" hidden="1">[78]XREF!#REF!</definedName>
    <definedName name="XRefCopy12Row" localSheetId="53" hidden="1">[78]XREF!#REF!</definedName>
    <definedName name="XRefCopy12Row" localSheetId="8" hidden="1">[78]XREF!#REF!</definedName>
    <definedName name="XRefCopy12Row" localSheetId="51" hidden="1">[78]XREF!#REF!</definedName>
    <definedName name="XRefCopy12Row" localSheetId="36" hidden="1">[78]XREF!#REF!</definedName>
    <definedName name="XRefCopy12Row" localSheetId="37" hidden="1">[78]XREF!#REF!</definedName>
    <definedName name="XRefCopy12Row" hidden="1">[78]XREF!#REF!</definedName>
    <definedName name="XRefCopy14" localSheetId="45" hidden="1">#REF!</definedName>
    <definedName name="XRefCopy14" localSheetId="46" hidden="1">#REF!</definedName>
    <definedName name="XRefCopy14" localSheetId="53" hidden="1">#REF!</definedName>
    <definedName name="XRefCopy14" localSheetId="8" hidden="1">#REF!</definedName>
    <definedName name="XRefCopy14" localSheetId="51" hidden="1">#REF!</definedName>
    <definedName name="XRefCopy14" localSheetId="36" hidden="1">#REF!</definedName>
    <definedName name="XRefCopy14" localSheetId="37" hidden="1">#REF!</definedName>
    <definedName name="XRefCopy14" hidden="1">#REF!</definedName>
    <definedName name="XRefCopy15" localSheetId="53" hidden="1">#REF!</definedName>
    <definedName name="XRefCopy15" localSheetId="8" hidden="1">#REF!</definedName>
    <definedName name="XRefCopy15" localSheetId="51" hidden="1">#REF!</definedName>
    <definedName name="XRefCopy15" localSheetId="36" hidden="1">#REF!</definedName>
    <definedName name="XRefCopy15" localSheetId="37" hidden="1">#REF!</definedName>
    <definedName name="XRefCopy15" hidden="1">#REF!</definedName>
    <definedName name="XRefCopy16" localSheetId="53" hidden="1">#REF!</definedName>
    <definedName name="XRefCopy16" localSheetId="8" hidden="1">#REF!</definedName>
    <definedName name="XRefCopy16" localSheetId="51" hidden="1">#REF!</definedName>
    <definedName name="XRefCopy16" localSheetId="36" hidden="1">#REF!</definedName>
    <definedName name="XRefCopy16" localSheetId="37" hidden="1">#REF!</definedName>
    <definedName name="XRefCopy16" hidden="1">#REF!</definedName>
    <definedName name="XRefCopy16Row" localSheetId="53" hidden="1">#REF!</definedName>
    <definedName name="XRefCopy16Row" localSheetId="8" hidden="1">#REF!</definedName>
    <definedName name="XRefCopy16Row" localSheetId="51" hidden="1">#REF!</definedName>
    <definedName name="XRefCopy16Row" localSheetId="36" hidden="1">#REF!</definedName>
    <definedName name="XRefCopy16Row" localSheetId="37" hidden="1">#REF!</definedName>
    <definedName name="XRefCopy16Row" hidden="1">#REF!</definedName>
    <definedName name="XRefCopy17" localSheetId="53" hidden="1">#REF!</definedName>
    <definedName name="XRefCopy17" localSheetId="8" hidden="1">#REF!</definedName>
    <definedName name="XRefCopy17" localSheetId="51" hidden="1">#REF!</definedName>
    <definedName name="XRefCopy17" localSheetId="36" hidden="1">#REF!</definedName>
    <definedName name="XRefCopy17" localSheetId="37" hidden="1">#REF!</definedName>
    <definedName name="XRefCopy17" hidden="1">#REF!</definedName>
    <definedName name="XRefCopy17Row" localSheetId="53" hidden="1">#REF!</definedName>
    <definedName name="XRefCopy17Row" localSheetId="8" hidden="1">#REF!</definedName>
    <definedName name="XRefCopy17Row" localSheetId="51" hidden="1">#REF!</definedName>
    <definedName name="XRefCopy17Row" localSheetId="36" hidden="1">#REF!</definedName>
    <definedName name="XRefCopy17Row" localSheetId="37" hidden="1">#REF!</definedName>
    <definedName name="XRefCopy17Row" hidden="1">#REF!</definedName>
    <definedName name="XRefCopy18Row" localSheetId="53" hidden="1">#REF!</definedName>
    <definedName name="XRefCopy18Row" localSheetId="8" hidden="1">#REF!</definedName>
    <definedName name="XRefCopy18Row" localSheetId="51" hidden="1">#REF!</definedName>
    <definedName name="XRefCopy18Row" localSheetId="36" hidden="1">#REF!</definedName>
    <definedName name="XRefCopy18Row" localSheetId="37" hidden="1">#REF!</definedName>
    <definedName name="XRefCopy18Row" hidden="1">#REF!</definedName>
    <definedName name="XRefCopy19Row" localSheetId="53" hidden="1">#REF!</definedName>
    <definedName name="XRefCopy19Row" localSheetId="8" hidden="1">#REF!</definedName>
    <definedName name="XRefCopy19Row" localSheetId="51" hidden="1">#REF!</definedName>
    <definedName name="XRefCopy19Row" localSheetId="36" hidden="1">#REF!</definedName>
    <definedName name="XRefCopy19Row" localSheetId="37" hidden="1">#REF!</definedName>
    <definedName name="XRefCopy19Row" hidden="1">#REF!</definedName>
    <definedName name="XRefCopy1Row" localSheetId="53" hidden="1">#REF!</definedName>
    <definedName name="XRefCopy1Row" localSheetId="8" hidden="1">#REF!</definedName>
    <definedName name="XRefCopy1Row" localSheetId="51" hidden="1">#REF!</definedName>
    <definedName name="XRefCopy1Row" localSheetId="36" hidden="1">#REF!</definedName>
    <definedName name="XRefCopy1Row" localSheetId="37" hidden="1">#REF!</definedName>
    <definedName name="XRefCopy1Row" hidden="1">#REF!</definedName>
    <definedName name="XRefCopy2" localSheetId="53" hidden="1">#REF!</definedName>
    <definedName name="XRefCopy2" localSheetId="8" hidden="1">#REF!</definedName>
    <definedName name="XRefCopy2" localSheetId="51" hidden="1">#REF!</definedName>
    <definedName name="XRefCopy2" localSheetId="36" hidden="1">#REF!</definedName>
    <definedName name="XRefCopy2" localSheetId="37" hidden="1">#REF!</definedName>
    <definedName name="XRefCopy2" hidden="1">#REF!</definedName>
    <definedName name="XRefCopy20" localSheetId="53" hidden="1">#REF!</definedName>
    <definedName name="XRefCopy20" localSheetId="8" hidden="1">#REF!</definedName>
    <definedName name="XRefCopy20" localSheetId="51" hidden="1">#REF!</definedName>
    <definedName name="XRefCopy20" localSheetId="36" hidden="1">#REF!</definedName>
    <definedName name="XRefCopy20" localSheetId="37" hidden="1">#REF!</definedName>
    <definedName name="XRefCopy20" hidden="1">#REF!</definedName>
    <definedName name="XRefCopy20Row" localSheetId="53" hidden="1">#REF!</definedName>
    <definedName name="XRefCopy20Row" localSheetId="8" hidden="1">#REF!</definedName>
    <definedName name="XRefCopy20Row" localSheetId="51" hidden="1">#REF!</definedName>
    <definedName name="XRefCopy20Row" localSheetId="36" hidden="1">#REF!</definedName>
    <definedName name="XRefCopy20Row" localSheetId="37" hidden="1">#REF!</definedName>
    <definedName name="XRefCopy20Row" hidden="1">#REF!</definedName>
    <definedName name="XRefCopy21Row" localSheetId="53" hidden="1">#REF!</definedName>
    <definedName name="XRefCopy21Row" localSheetId="8" hidden="1">#REF!</definedName>
    <definedName name="XRefCopy21Row" localSheetId="51" hidden="1">#REF!</definedName>
    <definedName name="XRefCopy21Row" localSheetId="36" hidden="1">#REF!</definedName>
    <definedName name="XRefCopy21Row" localSheetId="37" hidden="1">#REF!</definedName>
    <definedName name="XRefCopy21Row" hidden="1">#REF!</definedName>
    <definedName name="XRefCopy2Row" localSheetId="53" hidden="1">#REF!</definedName>
    <definedName name="XRefCopy2Row" localSheetId="8" hidden="1">#REF!</definedName>
    <definedName name="XRefCopy2Row" localSheetId="51" hidden="1">#REF!</definedName>
    <definedName name="XRefCopy2Row" localSheetId="36" hidden="1">#REF!</definedName>
    <definedName name="XRefCopy2Row" localSheetId="37" hidden="1">#REF!</definedName>
    <definedName name="XRefCopy2Row" hidden="1">#REF!</definedName>
    <definedName name="XRefCopy3" localSheetId="53" hidden="1">#REF!</definedName>
    <definedName name="XRefCopy3" localSheetId="8" hidden="1">#REF!</definedName>
    <definedName name="XRefCopy3" localSheetId="51" hidden="1">#REF!</definedName>
    <definedName name="XRefCopy3" localSheetId="36" hidden="1">#REF!</definedName>
    <definedName name="XRefCopy3" localSheetId="37" hidden="1">#REF!</definedName>
    <definedName name="XRefCopy3" hidden="1">#REF!</definedName>
    <definedName name="XRefCopy3Row" localSheetId="53" hidden="1">#REF!</definedName>
    <definedName name="XRefCopy3Row" localSheetId="8" hidden="1">#REF!</definedName>
    <definedName name="XRefCopy3Row" localSheetId="51" hidden="1">#REF!</definedName>
    <definedName name="XRefCopy3Row" localSheetId="36" hidden="1">#REF!</definedName>
    <definedName name="XRefCopy3Row" localSheetId="37" hidden="1">#REF!</definedName>
    <definedName name="XRefCopy3Row" hidden="1">#REF!</definedName>
    <definedName name="XRefCopy4Row" localSheetId="53" hidden="1">#REF!</definedName>
    <definedName name="XRefCopy4Row" localSheetId="8" hidden="1">#REF!</definedName>
    <definedName name="XRefCopy4Row" localSheetId="51" hidden="1">#REF!</definedName>
    <definedName name="XRefCopy4Row" localSheetId="36" hidden="1">#REF!</definedName>
    <definedName name="XRefCopy4Row" localSheetId="37" hidden="1">#REF!</definedName>
    <definedName name="XRefCopy4Row" hidden="1">#REF!</definedName>
    <definedName name="XRefCopy5Row" localSheetId="53" hidden="1">#REF!</definedName>
    <definedName name="XRefCopy5Row" localSheetId="8" hidden="1">#REF!</definedName>
    <definedName name="XRefCopy5Row" localSheetId="51" hidden="1">#REF!</definedName>
    <definedName name="XRefCopy5Row" localSheetId="36" hidden="1">#REF!</definedName>
    <definedName name="XRefCopy5Row" localSheetId="37" hidden="1">#REF!</definedName>
    <definedName name="XRefCopy5Row" hidden="1">#REF!</definedName>
    <definedName name="XRefCopyRangeCount" hidden="1">21</definedName>
    <definedName name="XRefPaste10Row" localSheetId="53" hidden="1">[78]XREF!#REF!</definedName>
    <definedName name="XRefPaste10Row" localSheetId="8" hidden="1">[78]XREF!#REF!</definedName>
    <definedName name="XRefPaste10Row" localSheetId="51" hidden="1">[78]XREF!#REF!</definedName>
    <definedName name="XRefPaste10Row" localSheetId="36" hidden="1">[78]XREF!#REF!</definedName>
    <definedName name="XRefPaste10Row" localSheetId="37" hidden="1">[78]XREF!#REF!</definedName>
    <definedName name="XRefPaste10Row" hidden="1">[78]XREF!#REF!</definedName>
    <definedName name="XRefPaste12" localSheetId="45" hidden="1">#REF!</definedName>
    <definedName name="XRefPaste12" localSheetId="46" hidden="1">#REF!</definedName>
    <definedName name="XRefPaste12" localSheetId="53" hidden="1">#REF!</definedName>
    <definedName name="XRefPaste12" localSheetId="8" hidden="1">#REF!</definedName>
    <definedName name="XRefPaste12" localSheetId="51" hidden="1">#REF!</definedName>
    <definedName name="XRefPaste12" localSheetId="36" hidden="1">#REF!</definedName>
    <definedName name="XRefPaste12" localSheetId="37" hidden="1">#REF!</definedName>
    <definedName name="XRefPaste12" hidden="1">#REF!</definedName>
    <definedName name="XRefPaste12Row" localSheetId="53" hidden="1">#REF!</definedName>
    <definedName name="XRefPaste12Row" localSheetId="8" hidden="1">#REF!</definedName>
    <definedName name="XRefPaste12Row" localSheetId="51" hidden="1">#REF!</definedName>
    <definedName name="XRefPaste12Row" localSheetId="36" hidden="1">#REF!</definedName>
    <definedName name="XRefPaste12Row" localSheetId="37" hidden="1">#REF!</definedName>
    <definedName name="XRefPaste12Row" hidden="1">#REF!</definedName>
    <definedName name="XRefPaste13" localSheetId="53" hidden="1">#REF!</definedName>
    <definedName name="XRefPaste13" localSheetId="8" hidden="1">#REF!</definedName>
    <definedName name="XRefPaste13" localSheetId="51" hidden="1">#REF!</definedName>
    <definedName name="XRefPaste13" localSheetId="36" hidden="1">#REF!</definedName>
    <definedName name="XRefPaste13" localSheetId="37" hidden="1">#REF!</definedName>
    <definedName name="XRefPaste13" hidden="1">#REF!</definedName>
    <definedName name="XRefPaste13Row" localSheetId="53" hidden="1">#REF!</definedName>
    <definedName name="XRefPaste13Row" localSheetId="8" hidden="1">#REF!</definedName>
    <definedName name="XRefPaste13Row" localSheetId="51" hidden="1">#REF!</definedName>
    <definedName name="XRefPaste13Row" localSheetId="36" hidden="1">#REF!</definedName>
    <definedName name="XRefPaste13Row" localSheetId="37" hidden="1">#REF!</definedName>
    <definedName name="XRefPaste13Row" hidden="1">#REF!</definedName>
    <definedName name="XRefPaste14" localSheetId="53" hidden="1">#REF!</definedName>
    <definedName name="XRefPaste14" localSheetId="8" hidden="1">#REF!</definedName>
    <definedName name="XRefPaste14" localSheetId="51" hidden="1">#REF!</definedName>
    <definedName name="XRefPaste14" localSheetId="36" hidden="1">#REF!</definedName>
    <definedName name="XRefPaste14" localSheetId="37" hidden="1">#REF!</definedName>
    <definedName name="XRefPaste14" hidden="1">#REF!</definedName>
    <definedName name="XRefPaste14Row" localSheetId="53" hidden="1">#REF!</definedName>
    <definedName name="XRefPaste14Row" localSheetId="8" hidden="1">#REF!</definedName>
    <definedName name="XRefPaste14Row" localSheetId="51" hidden="1">#REF!</definedName>
    <definedName name="XRefPaste14Row" localSheetId="36" hidden="1">#REF!</definedName>
    <definedName name="XRefPaste14Row" localSheetId="37" hidden="1">#REF!</definedName>
    <definedName name="XRefPaste14Row" hidden="1">#REF!</definedName>
    <definedName name="XRefPaste15" localSheetId="53" hidden="1">#REF!</definedName>
    <definedName name="XRefPaste15" localSheetId="8" hidden="1">#REF!</definedName>
    <definedName name="XRefPaste15" localSheetId="51" hidden="1">#REF!</definedName>
    <definedName name="XRefPaste15" localSheetId="36" hidden="1">#REF!</definedName>
    <definedName name="XRefPaste15" localSheetId="37" hidden="1">#REF!</definedName>
    <definedName name="XRefPaste15" hidden="1">#REF!</definedName>
    <definedName name="XRefPaste15Row" localSheetId="53" hidden="1">#REF!</definedName>
    <definedName name="XRefPaste15Row" localSheetId="8" hidden="1">#REF!</definedName>
    <definedName name="XRefPaste15Row" localSheetId="51" hidden="1">#REF!</definedName>
    <definedName name="XRefPaste15Row" localSheetId="36" hidden="1">#REF!</definedName>
    <definedName name="XRefPaste15Row" localSheetId="37" hidden="1">#REF!</definedName>
    <definedName name="XRefPaste15Row" hidden="1">#REF!</definedName>
    <definedName name="XRefPaste16" localSheetId="53" hidden="1">#REF!</definedName>
    <definedName name="XRefPaste16" localSheetId="8" hidden="1">#REF!</definedName>
    <definedName name="XRefPaste16" localSheetId="51" hidden="1">#REF!</definedName>
    <definedName name="XRefPaste16" localSheetId="36" hidden="1">#REF!</definedName>
    <definedName name="XRefPaste16" localSheetId="37" hidden="1">#REF!</definedName>
    <definedName name="XRefPaste16" hidden="1">#REF!</definedName>
    <definedName name="XRefPaste16Row" localSheetId="53" hidden="1">#REF!</definedName>
    <definedName name="XRefPaste16Row" localSheetId="8" hidden="1">#REF!</definedName>
    <definedName name="XRefPaste16Row" localSheetId="51" hidden="1">#REF!</definedName>
    <definedName name="XRefPaste16Row" localSheetId="36" hidden="1">#REF!</definedName>
    <definedName name="XRefPaste16Row" localSheetId="37" hidden="1">#REF!</definedName>
    <definedName name="XRefPaste16Row" hidden="1">#REF!</definedName>
    <definedName name="XRefPaste17" localSheetId="53" hidden="1">#REF!</definedName>
    <definedName name="XRefPaste17" localSheetId="8" hidden="1">#REF!</definedName>
    <definedName name="XRefPaste17" localSheetId="51" hidden="1">#REF!</definedName>
    <definedName name="XRefPaste17" localSheetId="36" hidden="1">#REF!</definedName>
    <definedName name="XRefPaste17" localSheetId="37" hidden="1">#REF!</definedName>
    <definedName name="XRefPaste17" hidden="1">#REF!</definedName>
    <definedName name="XRefPaste17Row" localSheetId="53" hidden="1">#REF!</definedName>
    <definedName name="XRefPaste17Row" localSheetId="8" hidden="1">#REF!</definedName>
    <definedName name="XRefPaste17Row" localSheetId="51" hidden="1">#REF!</definedName>
    <definedName name="XRefPaste17Row" localSheetId="36" hidden="1">#REF!</definedName>
    <definedName name="XRefPaste17Row" localSheetId="37" hidden="1">#REF!</definedName>
    <definedName name="XRefPaste17Row" hidden="1">#REF!</definedName>
    <definedName name="XRefPaste1Row" localSheetId="53" hidden="1">#REF!</definedName>
    <definedName name="XRefPaste1Row" localSheetId="8" hidden="1">#REF!</definedName>
    <definedName name="XRefPaste1Row" localSheetId="51" hidden="1">#REF!</definedName>
    <definedName name="XRefPaste1Row" localSheetId="36" hidden="1">#REF!</definedName>
    <definedName name="XRefPaste1Row" localSheetId="37" hidden="1">#REF!</definedName>
    <definedName name="XRefPaste1Row" hidden="1">#REF!</definedName>
    <definedName name="XRefPaste2" localSheetId="53" hidden="1">#REF!</definedName>
    <definedName name="XRefPaste2" localSheetId="8" hidden="1">#REF!</definedName>
    <definedName name="XRefPaste2" localSheetId="51" hidden="1">#REF!</definedName>
    <definedName name="XRefPaste2" localSheetId="36" hidden="1">#REF!</definedName>
    <definedName name="XRefPaste2" localSheetId="37" hidden="1">#REF!</definedName>
    <definedName name="XRefPaste2" hidden="1">#REF!</definedName>
    <definedName name="XRefPaste2Row" localSheetId="53" hidden="1">#REF!</definedName>
    <definedName name="XRefPaste2Row" localSheetId="8" hidden="1">#REF!</definedName>
    <definedName name="XRefPaste2Row" localSheetId="51" hidden="1">#REF!</definedName>
    <definedName name="XRefPaste2Row" localSheetId="36" hidden="1">#REF!</definedName>
    <definedName name="XRefPaste2Row" localSheetId="37" hidden="1">#REF!</definedName>
    <definedName name="XRefPaste2Row" hidden="1">#REF!</definedName>
    <definedName name="XRefPaste3Row" localSheetId="53" hidden="1">#REF!</definedName>
    <definedName name="XRefPaste3Row" localSheetId="8" hidden="1">#REF!</definedName>
    <definedName name="XRefPaste3Row" localSheetId="51" hidden="1">#REF!</definedName>
    <definedName name="XRefPaste3Row" localSheetId="36" hidden="1">#REF!</definedName>
    <definedName name="XRefPaste3Row" localSheetId="37" hidden="1">#REF!</definedName>
    <definedName name="XRefPaste3Row" hidden="1">#REF!</definedName>
    <definedName name="XRefPaste4Row" localSheetId="53" hidden="1">#REF!</definedName>
    <definedName name="XRefPaste4Row" localSheetId="8" hidden="1">#REF!</definedName>
    <definedName name="XRefPaste4Row" localSheetId="51" hidden="1">#REF!</definedName>
    <definedName name="XRefPaste4Row" localSheetId="36" hidden="1">#REF!</definedName>
    <definedName name="XRefPaste4Row" localSheetId="37" hidden="1">#REF!</definedName>
    <definedName name="XRefPaste4Row" hidden="1">#REF!</definedName>
    <definedName name="XRefPaste5" localSheetId="53" hidden="1">#REF!</definedName>
    <definedName name="XRefPaste5" localSheetId="8" hidden="1">#REF!</definedName>
    <definedName name="XRefPaste5" localSheetId="51" hidden="1">#REF!</definedName>
    <definedName name="XRefPaste5" localSheetId="36" hidden="1">#REF!</definedName>
    <definedName name="XRefPaste5" localSheetId="37" hidden="1">#REF!</definedName>
    <definedName name="XRefPaste5" hidden="1">#REF!</definedName>
    <definedName name="XRefPaste5Row" localSheetId="53" hidden="1">#REF!</definedName>
    <definedName name="XRefPaste5Row" localSheetId="8" hidden="1">#REF!</definedName>
    <definedName name="XRefPaste5Row" localSheetId="51" hidden="1">#REF!</definedName>
    <definedName name="XRefPaste5Row" localSheetId="36" hidden="1">#REF!</definedName>
    <definedName name="XRefPaste5Row" localSheetId="37" hidden="1">#REF!</definedName>
    <definedName name="XRefPaste5Row" hidden="1">#REF!</definedName>
    <definedName name="XRefPaste7" localSheetId="53" hidden="1">#REF!</definedName>
    <definedName name="XRefPaste7" localSheetId="8" hidden="1">#REF!</definedName>
    <definedName name="XRefPaste7" localSheetId="51" hidden="1">#REF!</definedName>
    <definedName name="XRefPaste7" localSheetId="36" hidden="1">#REF!</definedName>
    <definedName name="XRefPaste7" localSheetId="37" hidden="1">#REF!</definedName>
    <definedName name="XRefPaste7" hidden="1">#REF!</definedName>
    <definedName name="XRefPaste8" localSheetId="53" hidden="1">#REF!</definedName>
    <definedName name="XRefPaste8" localSheetId="8" hidden="1">#REF!</definedName>
    <definedName name="XRefPaste8" localSheetId="51" hidden="1">#REF!</definedName>
    <definedName name="XRefPaste8" localSheetId="36" hidden="1">#REF!</definedName>
    <definedName name="XRefPaste8" localSheetId="37" hidden="1">#REF!</definedName>
    <definedName name="XRefPaste8" hidden="1">#REF!</definedName>
    <definedName name="XRefPasteRangeCount" hidden="1">17</definedName>
    <definedName name="xxxx" localSheetId="53" hidden="1">[79]CE!#REF!</definedName>
    <definedName name="xxxx" localSheetId="4" hidden="1">[79]CE!#REF!</definedName>
    <definedName name="xxxx" localSheetId="5" hidden="1">[79]CE!#REF!</definedName>
    <definedName name="xxxx" localSheetId="7" hidden="1">[79]CE!#REF!</definedName>
    <definedName name="xxxx" localSheetId="8" hidden="1">[79]CE!#REF!</definedName>
    <definedName name="xxxx" localSheetId="51" hidden="1">[79]CE!#REF!</definedName>
    <definedName name="xxxx" localSheetId="36" hidden="1">[79]CE!#REF!</definedName>
    <definedName name="xxxx" localSheetId="37" hidden="1">[79]CE!#REF!</definedName>
    <definedName name="xxxx" localSheetId="10" hidden="1">[79]CE!#REF!</definedName>
    <definedName name="xxxx" localSheetId="18" hidden="1">[79]CE!#REF!</definedName>
    <definedName name="xxxx" localSheetId="23" hidden="1">[79]CE!#REF!</definedName>
    <definedName name="xxxx" localSheetId="24" hidden="1">[79]CE!#REF!</definedName>
    <definedName name="xxxx" hidden="1">[79]CE!#REF!</definedName>
    <definedName name="xzxzxcxc" localSheetId="8">#REF!</definedName>
    <definedName name="xzxzxcxc">#REF!</definedName>
    <definedName name="Y" localSheetId="45" hidden="1">'[25]Eq. Mobilization'!#REF!</definedName>
    <definedName name="Y" localSheetId="46" hidden="1">'[28]Eq. Mobilization'!#REF!</definedName>
    <definedName name="Y" localSheetId="53" hidden="1">'[27]Eq. Mobilization'!#REF!</definedName>
    <definedName name="Y" localSheetId="8" hidden="1">'[27]Eq. Mobilization'!#REF!</definedName>
    <definedName name="Y" localSheetId="51" hidden="1">'[28]Eq. Mobilization'!#REF!</definedName>
    <definedName name="Y" localSheetId="36" hidden="1">'[28]Eq. Mobilization'!#REF!</definedName>
    <definedName name="Y" localSheetId="37" hidden="1">'[28]Eq. Mobilization'!#REF!</definedName>
    <definedName name="Y" hidden="1">'[28]Eq. Mobilization'!#REF!</definedName>
    <definedName name="y_strainer">#REF!</definedName>
    <definedName name="YEAR">#REF!</definedName>
    <definedName name="Year1" localSheetId="8">#REF!</definedName>
    <definedName name="Year1">#REF!</definedName>
    <definedName name="year2011" localSheetId="8">#REF!</definedName>
    <definedName name="year2011">#REF!</definedName>
    <definedName name="ygshjshua" localSheetId="8">#REF!</definedName>
    <definedName name="ygshjshua">#REF!</definedName>
    <definedName name="yi" localSheetId="45" hidden="1">{"'Sheet1'!$L$16"}</definedName>
    <definedName name="yi" localSheetId="46" hidden="1">{"'Sheet1'!$L$16"}</definedName>
    <definedName name="yi" localSheetId="53" hidden="1">{"'Sheet1'!$L$16"}</definedName>
    <definedName name="yi" localSheetId="8" hidden="1">{"'Sheet1'!$L$16"}</definedName>
    <definedName name="yi" localSheetId="20" hidden="1">{"'Sheet1'!$L$16"}</definedName>
    <definedName name="yi" hidden="1">{"'Sheet1'!$L$16"}</definedName>
    <definedName name="YV">'[34]해외 연수비용 계산-삭제'!#REF!</definedName>
    <definedName name="yy">#REF!</definedName>
    <definedName name="Z" localSheetId="45" hidden="1">'[25]Eq. Mobilization'!#REF!</definedName>
    <definedName name="Z" localSheetId="46" hidden="1">'[28]Eq. Mobilization'!#REF!</definedName>
    <definedName name="Z" localSheetId="53" hidden="1">'[27]Eq. Mobilization'!#REF!</definedName>
    <definedName name="Z" localSheetId="8" hidden="1">'[27]Eq. Mobilization'!#REF!</definedName>
    <definedName name="Z" localSheetId="51" hidden="1">'[28]Eq. Mobilization'!#REF!</definedName>
    <definedName name="Z" localSheetId="36" hidden="1">'[28]Eq. Mobilization'!#REF!</definedName>
    <definedName name="Z" localSheetId="37" hidden="1">'[28]Eq. Mobilization'!#REF!</definedName>
    <definedName name="Z" hidden="1">'[28]Eq. Mobilization'!#REF!</definedName>
    <definedName name="z\">#REF!</definedName>
    <definedName name="Z_L_I_T_E_N">#N/A</definedName>
    <definedName name="zbhh" localSheetId="8">#REF!</definedName>
    <definedName name="zbhh">#REF!</definedName>
    <definedName name="ZX">'[34]해외 연수비용 계산-삭제'!#REF!</definedName>
    <definedName name="zz">#REF!</definedName>
    <definedName name="zzxxx" localSheetId="8">#REF!,#REF!</definedName>
    <definedName name="zzxxx">#REF!,#REF!</definedName>
    <definedName name="ㄱㄱㄱ">#REF!</definedName>
    <definedName name="간경1">#REF!</definedName>
    <definedName name="간경2">#REF!</definedName>
    <definedName name="간경3">#REF!</definedName>
    <definedName name="간경4">#REF!</definedName>
    <definedName name="간노1">#REF!</definedName>
    <definedName name="간노2">#REF!</definedName>
    <definedName name="간재">#REF!</definedName>
    <definedName name="감가">#REF!</definedName>
    <definedName name="건">#N/A</definedName>
    <definedName name="견적데이타" localSheetId="8">[80]견적기준!#REF!</definedName>
    <definedName name="견적데이타">[80]견적기준!#REF!</definedName>
    <definedName name="계전2" localSheetId="45" hidden="1">#REF!</definedName>
    <definedName name="계전2" localSheetId="46" hidden="1">#REF!</definedName>
    <definedName name="계전2" localSheetId="53" hidden="1">#REF!</definedName>
    <definedName name="계전2" localSheetId="8" hidden="1">#REF!</definedName>
    <definedName name="계전2" localSheetId="51" hidden="1">#REF!</definedName>
    <definedName name="계전2" localSheetId="36" hidden="1">#REF!</definedName>
    <definedName name="계전2" localSheetId="37" hidden="1">#REF!</definedName>
    <definedName name="계전2" hidden="1">#REF!</definedName>
    <definedName name="공">#REF!</definedName>
    <definedName name="공사명">#REF!</definedName>
    <definedName name="공장">#REF!</definedName>
    <definedName name="기계설치공">#REF!</definedName>
    <definedName name="기계설치공__플랜트">#REF!</definedName>
    <definedName name="기타_선택">#REF!</definedName>
    <definedName name="기타_선택1">#REF!</definedName>
    <definedName name="ㄴㅇㄹ">#N/A</definedName>
    <definedName name="ㄴㅇㄹㅇㄹ" localSheetId="45" hidden="1">'[25]Eq. Mobilization'!#REF!</definedName>
    <definedName name="ㄴㅇㄹㅇㄹ" localSheetId="53" hidden="1">'[27]Eq. Mobilization'!#REF!</definedName>
    <definedName name="ㄴㅇㄹㅇㄹ" localSheetId="8" hidden="1">'[27]Eq. Mobilization'!#REF!</definedName>
    <definedName name="ㄴㅇㄹㅇㄹ" localSheetId="51" hidden="1">'[28]Eq. Mobilization'!#REF!</definedName>
    <definedName name="ㄴㅇㄹㅇㄹ" localSheetId="36" hidden="1">'[28]Eq. Mobilization'!#REF!</definedName>
    <definedName name="ㄴㅇㄹㅇㄹ" localSheetId="37" hidden="1">'[28]Eq. Mobilization'!#REF!</definedName>
    <definedName name="ㄴㅇㄹㅇㄹ" hidden="1">'[28]Eq. Mobilization'!#REF!</definedName>
    <definedName name="납기일">#REF!</definedName>
    <definedName name="내역서">#REF!</definedName>
    <definedName name="ㄷ">OFFSET([81]규격!#REF!,1,[81]규격!$E$3-1,10,1)</definedName>
    <definedName name="단가">[82]기준표!$A$1:$C$65536</definedName>
    <definedName name="당등">#REF!</definedName>
    <definedName name="대" localSheetId="45" hidden="1">{"Edition",#N/A,FALSE,"Data"}</definedName>
    <definedName name="대" localSheetId="46" hidden="1">{"Edition",#N/A,FALSE,"Data"}</definedName>
    <definedName name="대" localSheetId="53" hidden="1">{"Edition",#N/A,FALSE,"Data"}</definedName>
    <definedName name="대" localSheetId="8" hidden="1">{"Edition",#N/A,FALSE,"Data"}</definedName>
    <definedName name="대" localSheetId="20" hidden="1">{"Edition",#N/A,FALSE,"Data"}</definedName>
    <definedName name="대" hidden="1">{"Edition",#N/A,FALSE,"Data"}</definedName>
    <definedName name="대비표_COMP">#REF!</definedName>
    <definedName name="대비표_선택">#REF!</definedName>
    <definedName name="ㄹㅇ">#REF!</definedName>
    <definedName name="ㄹㅇㄴ" localSheetId="45" hidden="1">{"'Sheet1'!$L$16"}</definedName>
    <definedName name="ㄹㅇㄴ" localSheetId="46" hidden="1">{"'Sheet1'!$L$16"}</definedName>
    <definedName name="ㄹㅇㄴ" localSheetId="53" hidden="1">{"'Sheet1'!$L$16"}</definedName>
    <definedName name="ㄹㅇㄴ" localSheetId="8" hidden="1">{"'Sheet1'!$L$16"}</definedName>
    <definedName name="ㄹㅇㄴ" localSheetId="20" hidden="1">{"'Sheet1'!$L$16"}</definedName>
    <definedName name="ㄹㅇㄴ" hidden="1">{"'Sheet1'!$L$16"}</definedName>
    <definedName name="ㅁ01">#REF!</definedName>
    <definedName name="ㅁ1">#REF!</definedName>
    <definedName name="ㅁㅁㅁ">#REF!</definedName>
    <definedName name="ㅁㅁㅁㅁ" localSheetId="45" hidden="1">{"Edition",#N/A,FALSE,"Data"}</definedName>
    <definedName name="ㅁㅁㅁㅁ" localSheetId="46" hidden="1">{"Edition",#N/A,FALSE,"Data"}</definedName>
    <definedName name="ㅁㅁㅁㅁ" localSheetId="53" hidden="1">{"Edition",#N/A,FALSE,"Data"}</definedName>
    <definedName name="ㅁㅁㅁㅁ" localSheetId="8" hidden="1">{"Edition",#N/A,FALSE,"Data"}</definedName>
    <definedName name="ㅁㅁㅁㅁ" localSheetId="20" hidden="1">{"Edition",#N/A,FALSE,"Data"}</definedName>
    <definedName name="ㅁㅁㅁㅁ" hidden="1">{"Edition",#N/A,FALSE,"Data"}</definedName>
    <definedName name="목공">#REF!</definedName>
    <definedName name="목도공">#REF!</definedName>
    <definedName name="몰라" localSheetId="45" hidden="1">{"Edition",#N/A,FALSE,"Data"}</definedName>
    <definedName name="몰라" localSheetId="46" hidden="1">{"Edition",#N/A,FALSE,"Data"}</definedName>
    <definedName name="몰라" localSheetId="53" hidden="1">{"Edition",#N/A,FALSE,"Data"}</definedName>
    <definedName name="몰라" localSheetId="8" hidden="1">{"Edition",#N/A,FALSE,"Data"}</definedName>
    <definedName name="몰라" localSheetId="20" hidden="1">{"Edition",#N/A,FALSE,"Data"}</definedName>
    <definedName name="몰라" hidden="1">{"Edition",#N/A,FALSE,"Data"}</definedName>
    <definedName name="뭐라소">'[83] FURNACE현설'!$A$1:$K$24</definedName>
    <definedName name="ㅂ">#REF!</definedName>
    <definedName name="ㅂㅂㅂ">#REF!</definedName>
    <definedName name="ㅂㅂㅂㅂㅂ">#REF!</definedName>
    <definedName name="배관공">#REF!</definedName>
    <definedName name="보통_인부">#REF!</definedName>
    <definedName name="부분합">#REF!</definedName>
    <definedName name="부분합범위">#REF!</definedName>
    <definedName name="비목2">#REF!</definedName>
    <definedName name="비목3">#REF!</definedName>
    <definedName name="비목4">#REF!</definedName>
    <definedName name="ㅅㄷ" localSheetId="45" hidden="1">{"'Sheet1'!$L$16"}</definedName>
    <definedName name="ㅅㄷ" localSheetId="46" hidden="1">{"'Sheet1'!$L$16"}</definedName>
    <definedName name="ㅅㄷ" localSheetId="53" hidden="1">{"'Sheet1'!$L$16"}</definedName>
    <definedName name="ㅅㄷ" localSheetId="8" hidden="1">{"'Sheet1'!$L$16"}</definedName>
    <definedName name="ㅅㄷ" localSheetId="20" hidden="1">{"'Sheet1'!$L$16"}</definedName>
    <definedName name="ㅅㄷ" hidden="1">{"'Sheet1'!$L$16"}</definedName>
    <definedName name="사외">#REF!</definedName>
    <definedName name="선투입추정">#REF!</definedName>
    <definedName name="소모비">#REF!</definedName>
    <definedName name="소분류">OFFSET([84]예제!$C$1,1,[84]예제!$A$15-1,10,1)</definedName>
    <definedName name="소분류동적A">"OFFSET('규격'!$C$1,1,'규격'!$A$15-1,COUNTA(OFFSET('규격'!$E$3,1,'규격'!$H$3-1,10,1),1))"</definedName>
    <definedName name="수주일">#REF!</definedName>
    <definedName name="ㅇㄴㄹㅇㄹㄴㅇㄹ">#REF!</definedName>
    <definedName name="ㅇㄹㄴㅇㄹ">'[85]MOB-MAN1'!$D$40:$BW$49</definedName>
    <definedName name="양식1">#REF!</definedName>
    <definedName name="양식2">#REF!</definedName>
    <definedName name="양식3">#REF!</definedName>
    <definedName name="엘피드럼">#REF!</definedName>
    <definedName name="영흥" localSheetId="45" hidden="1">{"Edition",#N/A,FALSE,"Data"}</definedName>
    <definedName name="영흥" localSheetId="46" hidden="1">{"Edition",#N/A,FALSE,"Data"}</definedName>
    <definedName name="영흥" localSheetId="53" hidden="1">{"Edition",#N/A,FALSE,"Data"}</definedName>
    <definedName name="영흥" localSheetId="8" hidden="1">{"Edition",#N/A,FALSE,"Data"}</definedName>
    <definedName name="영흥" localSheetId="20" hidden="1">{"Edition",#N/A,FALSE,"Data"}</definedName>
    <definedName name="영흥" hidden="1">{"Edition",#N/A,FALSE,"Data"}</definedName>
    <definedName name="영흥2" localSheetId="45" hidden="1">{"Edition",#N/A,FALSE,"Data"}</definedName>
    <definedName name="영흥2" localSheetId="46" hidden="1">{"Edition",#N/A,FALSE,"Data"}</definedName>
    <definedName name="영흥2" localSheetId="53" hidden="1">{"Edition",#N/A,FALSE,"Data"}</definedName>
    <definedName name="영흥2" localSheetId="8" hidden="1">{"Edition",#N/A,FALSE,"Data"}</definedName>
    <definedName name="영흥2" localSheetId="20" hidden="1">{"Edition",#N/A,FALSE,"Data"}</definedName>
    <definedName name="영흥2" hidden="1">{"Edition",#N/A,FALSE,"Data"}</definedName>
    <definedName name="원가집계">#REF!</definedName>
    <definedName name="원초적계획">[86]소화실적!#REF!</definedName>
    <definedName name="위치" localSheetId="45" hidden="1">{"Edition",#N/A,FALSE,"Data"}</definedName>
    <definedName name="위치" localSheetId="46" hidden="1">{"Edition",#N/A,FALSE,"Data"}</definedName>
    <definedName name="위치" localSheetId="53" hidden="1">{"Edition",#N/A,FALSE,"Data"}</definedName>
    <definedName name="위치" localSheetId="8" hidden="1">{"Edition",#N/A,FALSE,"Data"}</definedName>
    <definedName name="위치" localSheetId="20" hidden="1">{"Edition",#N/A,FALSE,"Data"}</definedName>
    <definedName name="위치" hidden="1">{"Edition",#N/A,FALSE,"Data"}</definedName>
    <definedName name="은성호">BlankMacro1</definedName>
    <definedName name="이지숙">BlankMacro1</definedName>
    <definedName name="임율표">'[87]임율 Data'!$A$1:$H$6</definedName>
    <definedName name="ㅈ">'[88]M-EQPT-Z'!#REF!</definedName>
    <definedName name="장수인">#N/A</definedName>
    <definedName name="전">#REF!</definedName>
    <definedName name="주택사업본부">#REF!</definedName>
    <definedName name="중장비건축">BlankMacro1</definedName>
    <definedName name="증계">#N/A</definedName>
    <definedName name="증대">#N/A</definedName>
    <definedName name="증대2">#N/A</definedName>
    <definedName name="지1">#REF!</definedName>
    <definedName name="지21">#REF!</definedName>
    <definedName name="지22">#REF!</definedName>
    <definedName name="지23">#REF!</definedName>
    <definedName name="지24">#REF!</definedName>
    <definedName name="지25">#REF!</definedName>
    <definedName name="지숙1">BlankMacro1</definedName>
    <definedName name="지지물">#REF!</definedName>
    <definedName name="지지물집계">#REF!</definedName>
    <definedName name="직노">#REF!</definedName>
    <definedName name="직접_선택">#REF!</definedName>
    <definedName name="직접재료비">#REF!</definedName>
    <definedName name="짚게">#REF!</definedName>
    <definedName name="ㅊㅌㅍㅊㅍㅊㅌㅍㅊㅌㅍㅊㅌㅍㅊㅌㅍㅊㅌㅍ" localSheetId="46" hidden="1">'[89]Eq. Mobilization'!#REF!</definedName>
    <definedName name="ㅊㅌㅍㅊㅍㅊㅌㅍㅊㅌㅍㅊㅌㅍㅊㅌㅍㅊㅌㅍ" localSheetId="53" hidden="1">'[89]Eq. Mobilization'!#REF!</definedName>
    <definedName name="ㅊㅌㅍㅊㅍㅊㅌㅍㅊㅌㅍㅊㅌㅍㅊㅌㅍㅊㅌㅍ" localSheetId="8" hidden="1">'[89]Eq. Mobilization'!#REF!</definedName>
    <definedName name="ㅊㅌㅍㅊㅍㅊㅌㅍㅊㅌㅍㅊㅌㅍㅊㅌㅍㅊㅌㅍ" localSheetId="51" hidden="1">'[89]Eq. Mobilization'!#REF!</definedName>
    <definedName name="ㅊㅌㅍㅊㅍㅊㅌㅍㅊㅌㅍㅊㅌㅍㅊㅌㅍㅊㅌㅍ" localSheetId="36" hidden="1">'[89]Eq. Mobilization'!#REF!</definedName>
    <definedName name="ㅊㅌㅍㅊㅍㅊㅌㅍㅊㅌㅍㅊㅌㅍㅊㅌㅍㅊㅌㅍ" localSheetId="37" hidden="1">'[89]Eq. Mobilization'!#REF!</definedName>
    <definedName name="ㅊㅌㅍㅊㅍㅊㅌㅍㅊㅌㅍㅊㅌㅍㅊㅌㅍㅊㅌㅍ" hidden="1">'[89]Eq. Mobilization'!#REF!</definedName>
    <definedName name="ㅊㅌㅍㅊㅍㅌㅋㅊㅍㅌㅊㅍ" localSheetId="46" hidden="1">'[89]Eq. Mobilization'!#REF!</definedName>
    <definedName name="ㅊㅌㅍㅊㅍㅌㅋㅊㅍㅌㅊㅍ" localSheetId="53" hidden="1">'[89]Eq. Mobilization'!#REF!</definedName>
    <definedName name="ㅊㅌㅍㅊㅍㅌㅋㅊㅍㅌㅊㅍ" localSheetId="8" hidden="1">'[89]Eq. Mobilization'!#REF!</definedName>
    <definedName name="ㅊㅌㅍㅊㅍㅌㅋㅊㅍㅌㅊㅍ" localSheetId="51" hidden="1">'[89]Eq. Mobilization'!#REF!</definedName>
    <definedName name="ㅊㅌㅍㅊㅍㅌㅋㅊㅍㅌㅊㅍ" localSheetId="36" hidden="1">'[89]Eq. Mobilization'!#REF!</definedName>
    <definedName name="ㅊㅌㅍㅊㅍㅌㅋㅊㅍㅌㅊㅍ" localSheetId="37" hidden="1">'[89]Eq. Mobilization'!#REF!</definedName>
    <definedName name="ㅊㅌㅍㅊㅍㅌㅋㅊㅍㅌㅊㅍ" hidden="1">'[89]Eq. Mobilization'!#REF!</definedName>
    <definedName name="ㅊㅌㅍㅋㅊㅍㅌㅊㅍㅌㅊㅍ" localSheetId="46" hidden="1">'[89]Eq. Mobilization'!#REF!</definedName>
    <definedName name="ㅊㅌㅍㅋㅊㅍㅌㅊㅍㅌㅊㅍ" localSheetId="53" hidden="1">'[89]Eq. Mobilization'!#REF!</definedName>
    <definedName name="ㅊㅌㅍㅋㅊㅍㅌㅊㅍㅌㅊㅍ" localSheetId="8" hidden="1">'[89]Eq. Mobilization'!#REF!</definedName>
    <definedName name="ㅊㅌㅍㅋㅊㅍㅌㅊㅍㅌㅊㅍ" localSheetId="51" hidden="1">'[89]Eq. Mobilization'!#REF!</definedName>
    <definedName name="ㅊㅌㅍㅋㅊㅍㅌㅊㅍㅌㅊㅍ" localSheetId="36" hidden="1">'[89]Eq. Mobilization'!#REF!</definedName>
    <definedName name="ㅊㅌㅍㅋㅊㅍㅌㅊㅍㅌㅊㅍ" localSheetId="37" hidden="1">'[89]Eq. Mobilization'!#REF!</definedName>
    <definedName name="ㅊㅌㅍㅋㅊㅍㅌㅊㅍㅌㅊㅍ" hidden="1">'[89]Eq. Mobilization'!#REF!</definedName>
    <definedName name="ㅊㅌㅍㅌㅊㅍㅊㅌㅍㅌㅊㅍㅌㅊㅍ" localSheetId="46" hidden="1">'[89]Eq. Mobilization'!#REF!</definedName>
    <definedName name="ㅊㅌㅍㅌㅊㅍㅊㅌㅍㅌㅊㅍㅌㅊㅍ" localSheetId="53" hidden="1">'[89]Eq. Mobilization'!#REF!</definedName>
    <definedName name="ㅊㅌㅍㅌㅊㅍㅊㅌㅍㅌㅊㅍㅌㅊㅍ" localSheetId="8" hidden="1">'[89]Eq. Mobilization'!#REF!</definedName>
    <definedName name="ㅊㅌㅍㅌㅊㅍㅊㅌㅍㅌㅊㅍㅌㅊㅍ" localSheetId="51" hidden="1">'[89]Eq. Mobilization'!#REF!</definedName>
    <definedName name="ㅊㅌㅍㅌㅊㅍㅊㅌㅍㅌㅊㅍㅌㅊㅍ" localSheetId="36" hidden="1">'[89]Eq. Mobilization'!#REF!</definedName>
    <definedName name="ㅊㅌㅍㅌㅊㅍㅊㅌㅍㅌㅊㅍㅌㅊㅍ" localSheetId="37" hidden="1">'[89]Eq. Mobilization'!#REF!</definedName>
    <definedName name="ㅊㅌㅍㅌㅊㅍㅊㅌㅍㅌㅊㅍㅌㅊㅍ" hidden="1">'[89]Eq. Mobilization'!#REF!</definedName>
    <definedName name="차량">BlankMacro1</definedName>
    <definedName name="차량1">BlankMacro1</definedName>
    <definedName name="철구사업본부">#REF!</definedName>
    <definedName name="최상철">BlankMacro1</definedName>
    <definedName name="추" localSheetId="45" hidden="1">{"'Sheet1'!$L$16"}</definedName>
    <definedName name="추" localSheetId="46" hidden="1">{"'Sheet1'!$L$16"}</definedName>
    <definedName name="추" localSheetId="53" hidden="1">{"'Sheet1'!$L$16"}</definedName>
    <definedName name="추" localSheetId="8" hidden="1">{"'Sheet1'!$L$16"}</definedName>
    <definedName name="추" localSheetId="20" hidden="1">{"'Sheet1'!$L$16"}</definedName>
    <definedName name="추" hidden="1">{"'Sheet1'!$L$16"}</definedName>
    <definedName name="추가분" localSheetId="45" hidden="1">{"'장비'!$A$3:$M$12"}</definedName>
    <definedName name="추가분" localSheetId="46" hidden="1">{"'장비'!$A$3:$M$12"}</definedName>
    <definedName name="추가분" localSheetId="53" hidden="1">{"'장비'!$A$3:$M$12"}</definedName>
    <definedName name="추가분" localSheetId="8" hidden="1">{"'장비'!$A$3:$M$12"}</definedName>
    <definedName name="추가분" localSheetId="20" hidden="1">{"'장비'!$A$3:$M$12"}</definedName>
    <definedName name="추가분" hidden="1">{"'장비'!$A$3:$M$12"}</definedName>
    <definedName name="ㅋ" localSheetId="53" hidden="1">'[89]Eq. Mobilization'!#REF!</definedName>
    <definedName name="ㅋ" localSheetId="51" hidden="1">'[89]Eq. Mobilization'!#REF!</definedName>
    <definedName name="ㅋ" localSheetId="36" hidden="1">'[89]Eq. Mobilization'!#REF!</definedName>
    <definedName name="ㅋ" localSheetId="37" hidden="1">'[89]Eq. Mobilization'!#REF!</definedName>
    <definedName name="ㅋ" hidden="1">'[89]Eq. Mobilization'!#REF!</definedName>
    <definedName name="ㅋㅋㅋㅋ" localSheetId="53" hidden="1">'[89]Eq. Mobilization'!#REF!</definedName>
    <definedName name="ㅋㅋㅋㅋ" localSheetId="51" hidden="1">'[89]Eq. Mobilization'!#REF!</definedName>
    <definedName name="ㅋㅋㅋㅋ" localSheetId="36" hidden="1">'[89]Eq. Mobilization'!#REF!</definedName>
    <definedName name="ㅋㅋㅋㅋ" localSheetId="37" hidden="1">'[89]Eq. Mobilization'!#REF!</definedName>
    <definedName name="ㅋㅋㅋㅋ" hidden="1">'[89]Eq. Mobilization'!#REF!</definedName>
    <definedName name="ㅋㅋㅋㅋㅋㅋ" localSheetId="53" hidden="1">'[89]Eq. Mobilization'!#REF!</definedName>
    <definedName name="ㅋㅋㅋㅋㅋㅋ" localSheetId="51" hidden="1">'[89]Eq. Mobilization'!#REF!</definedName>
    <definedName name="ㅋㅋㅋㅋㅋㅋ" localSheetId="36" hidden="1">'[89]Eq. Mobilization'!#REF!</definedName>
    <definedName name="ㅋㅋㅋㅋㅋㅋ" localSheetId="37" hidden="1">'[89]Eq. Mobilization'!#REF!</definedName>
    <definedName name="ㅋㅋㅋㅋㅋㅋ" hidden="1">'[89]Eq. Mobilization'!#REF!</definedName>
    <definedName name="ㅋㅋㅋㅋㅋㅋㅋㅋㅋ" localSheetId="53" hidden="1">'[89]Eq. Mobilization'!#REF!</definedName>
    <definedName name="ㅋㅋㅋㅋㅋㅋㅋㅋㅋ" localSheetId="51" hidden="1">'[89]Eq. Mobilization'!#REF!</definedName>
    <definedName name="ㅋㅋㅋㅋㅋㅋㅋㅋㅋ" localSheetId="36" hidden="1">'[89]Eq. Mobilization'!#REF!</definedName>
    <definedName name="ㅋㅋㅋㅋㅋㅋㅋㅋㅋ" localSheetId="37" hidden="1">'[89]Eq. Mobilization'!#REF!</definedName>
    <definedName name="ㅋㅋㅋㅋㅋㅋㅋㅋㅋ" hidden="1">'[89]Eq. Mobilization'!#REF!</definedName>
    <definedName name="클_레_임">#N/A</definedName>
    <definedName name="ㅌㅊㅍㅌㅊㅍㅌㅋㅊㅍㅌ" localSheetId="53" hidden="1">'[89]Eq. Mobilization'!#REF!</definedName>
    <definedName name="ㅌㅊㅍㅌㅊㅍㅌㅋㅊㅍㅌ" localSheetId="51" hidden="1">'[89]Eq. Mobilization'!#REF!</definedName>
    <definedName name="ㅌㅊㅍㅌㅊㅍㅌㅋㅊㅍㅌ" localSheetId="36" hidden="1">'[89]Eq. Mobilization'!#REF!</definedName>
    <definedName name="ㅌㅊㅍㅌㅊㅍㅌㅋㅊㅍㅌ" localSheetId="37" hidden="1">'[89]Eq. Mobilization'!#REF!</definedName>
    <definedName name="ㅌㅊㅍㅌㅊㅍㅌㅋㅊㅍㅌ" hidden="1">'[89]Eq. Mobilization'!#REF!</definedName>
    <definedName name="타부서_선택">#REF!</definedName>
    <definedName name="타부서_선택1">#REF!</definedName>
    <definedName name="텐">BlankMacro1</definedName>
    <definedName name="템1">BlankMacro1</definedName>
    <definedName name="템플리트모듈1">BlankMacro1</definedName>
    <definedName name="템플리트모듈2">BlankMacro1</definedName>
    <definedName name="템플리트모듈3">BlankMacro1</definedName>
    <definedName name="템플리트모듈4">BlankMacro1</definedName>
    <definedName name="템플리트모듈5">BlankMacro1</definedName>
    <definedName name="템플리트모듈6">BlankMacro1</definedName>
    <definedName name="토">#N/A</definedName>
    <definedName name="토목변경" localSheetId="45" hidden="1">{"'장비'!$A$3:$M$12"}</definedName>
    <definedName name="토목변경" localSheetId="46" hidden="1">{"'장비'!$A$3:$M$12"}</definedName>
    <definedName name="토목변경" localSheetId="53" hidden="1">{"'장비'!$A$3:$M$12"}</definedName>
    <definedName name="토목변경" localSheetId="8" hidden="1">{"'장비'!$A$3:$M$12"}</definedName>
    <definedName name="토목변경" localSheetId="20" hidden="1">{"'장비'!$A$3:$M$12"}</definedName>
    <definedName name="토목변경" hidden="1">{"'장비'!$A$3:$M$12"}</definedName>
    <definedName name="토목실행예산" localSheetId="45" hidden="1">{"'장비'!$A$3:$M$12"}</definedName>
    <definedName name="토목실행예산" localSheetId="46" hidden="1">{"'장비'!$A$3:$M$12"}</definedName>
    <definedName name="토목실행예산" localSheetId="53" hidden="1">{"'장비'!$A$3:$M$12"}</definedName>
    <definedName name="토목실행예산" localSheetId="8" hidden="1">{"'장비'!$A$3:$M$12"}</definedName>
    <definedName name="토목실행예산" localSheetId="20" hidden="1">{"'장비'!$A$3:$M$12"}</definedName>
    <definedName name="토목실행예산" hidden="1">{"'장비'!$A$3:$M$12"}</definedName>
    <definedName name="토목조정분" localSheetId="45" hidden="1">{"'장비'!$A$3:$M$12"}</definedName>
    <definedName name="토목조정분" localSheetId="46" hidden="1">{"'장비'!$A$3:$M$12"}</definedName>
    <definedName name="토목조정분" localSheetId="53" hidden="1">{"'장비'!$A$3:$M$12"}</definedName>
    <definedName name="토목조정분" localSheetId="8" hidden="1">{"'장비'!$A$3:$M$12"}</definedName>
    <definedName name="토목조정분" localSheetId="20" hidden="1">{"'장비'!$A$3:$M$12"}</definedName>
    <definedName name="토목조정분" hidden="1">{"'장비'!$A$3:$M$12"}</definedName>
    <definedName name="토탈">#REF!</definedName>
    <definedName name="특별_인부">#REF!</definedName>
    <definedName name="표">#N/A</definedName>
    <definedName name="품셈단가표">#REF!</definedName>
    <definedName name="플">#N/A</definedName>
    <definedName name="ㅎㅎㄹ" localSheetId="45" hidden="1">{"Edition",#N/A,FALSE,"Data"}</definedName>
    <definedName name="ㅎㅎㄹ" localSheetId="46" hidden="1">{"Edition",#N/A,FALSE,"Data"}</definedName>
    <definedName name="ㅎㅎㄹ" localSheetId="53" hidden="1">{"Edition",#N/A,FALSE,"Data"}</definedName>
    <definedName name="ㅎㅎㄹ" localSheetId="8" hidden="1">{"Edition",#N/A,FALSE,"Data"}</definedName>
    <definedName name="ㅎㅎㄹ" localSheetId="20" hidden="1">{"Edition",#N/A,FALSE,"Data"}</definedName>
    <definedName name="ㅎㅎㄹ" hidden="1">{"Edition",#N/A,FALSE,"Data"}</definedName>
    <definedName name="할" localSheetId="45" hidden="1">{"'Sheet1'!$L$16"}</definedName>
    <definedName name="할" localSheetId="46" hidden="1">{"'Sheet1'!$L$16"}</definedName>
    <definedName name="할" localSheetId="53" hidden="1">{"'Sheet1'!$L$16"}</definedName>
    <definedName name="할" localSheetId="8" hidden="1">{"'Sheet1'!$L$16"}</definedName>
    <definedName name="할" localSheetId="20" hidden="1">{"'Sheet1'!$L$16"}</definedName>
    <definedName name="할" hidden="1">{"'Sheet1'!$L$16"}</definedName>
    <definedName name="항" localSheetId="45" hidden="1">{"'Sheet1'!$L$16"}</definedName>
    <definedName name="항" localSheetId="46" hidden="1">{"'Sheet1'!$L$16"}</definedName>
    <definedName name="항" localSheetId="53" hidden="1">{"'Sheet1'!$L$16"}</definedName>
    <definedName name="항" localSheetId="8" hidden="1">{"'Sheet1'!$L$16"}</definedName>
    <definedName name="항" localSheetId="20" hidden="1">{"'Sheet1'!$L$16"}</definedName>
    <definedName name="항" hidden="1">{"'Sheet1'!$L$16"}</definedName>
    <definedName name="환율">#REF!</definedName>
    <definedName name="후_담당간사에게_제출한다.">'[90]45,46'!#REF!</definedName>
    <definedName name="ㅏ1" localSheetId="45" hidden="1">#REF!</definedName>
    <definedName name="ㅏ1" localSheetId="46" hidden="1">#REF!</definedName>
    <definedName name="ㅏ1" localSheetId="53" hidden="1">#REF!</definedName>
    <definedName name="ㅏ1" localSheetId="8" hidden="1">#REF!</definedName>
    <definedName name="ㅏ1" localSheetId="51" hidden="1">#REF!</definedName>
    <definedName name="ㅏ1" localSheetId="36" hidden="1">#REF!</definedName>
    <definedName name="ㅏ1" localSheetId="37" hidden="1">#REF!</definedName>
    <definedName name="ㅏ1" hidden="1">#REF!</definedName>
    <definedName name="ㅐㅐ">#REF!</definedName>
    <definedName name="ㅐㅗㅅ">#REF!</definedName>
    <definedName name="ㅑㅅ" localSheetId="45" hidden="1">{"'Sheet1'!$L$16"}</definedName>
    <definedName name="ㅑㅅ" localSheetId="46" hidden="1">{"'Sheet1'!$L$16"}</definedName>
    <definedName name="ㅑㅅ" localSheetId="53" hidden="1">{"'Sheet1'!$L$16"}</definedName>
    <definedName name="ㅑㅅ" localSheetId="8" hidden="1">{"'Sheet1'!$L$16"}</definedName>
    <definedName name="ㅑㅅ" localSheetId="20" hidden="1">{"'Sheet1'!$L$16"}</definedName>
    <definedName name="ㅑㅅ" hidden="1">{"'Sheet1'!$L$16"}</definedName>
    <definedName name="ㅘ" localSheetId="45" hidden="1">{"'Sheet1'!$L$16"}</definedName>
    <definedName name="ㅘ" localSheetId="46" hidden="1">{"'Sheet1'!$L$16"}</definedName>
    <definedName name="ㅘ" localSheetId="53" hidden="1">{"'Sheet1'!$L$16"}</definedName>
    <definedName name="ㅘ" localSheetId="8" hidden="1">{"'Sheet1'!$L$16"}</definedName>
    <definedName name="ㅘ" localSheetId="20" hidden="1">{"'Sheet1'!$L$16"}</definedName>
    <definedName name="ㅘ" hidden="1">{"'Sheet1'!$L$16"}</definedName>
    <definedName name="合____計">#N/A</definedName>
    <definedName name="完工工事_計">#N/A</definedName>
    <definedName name="新規工事_計">#N/A</definedName>
  </definedNames>
  <calcPr calcId="162913"/>
  <fileRecoveryPr autoRecover="0"/>
</workbook>
</file>

<file path=xl/calcChain.xml><?xml version="1.0" encoding="utf-8"?>
<calcChain xmlns="http://schemas.openxmlformats.org/spreadsheetml/2006/main">
  <c r="F46" i="58" l="1"/>
  <c r="N57" i="58"/>
  <c r="K57" i="58"/>
  <c r="I57" i="58"/>
  <c r="H57" i="58"/>
  <c r="N27" i="58"/>
  <c r="P27" i="58"/>
  <c r="K27" i="58"/>
  <c r="H27" i="58"/>
  <c r="I27" i="58"/>
  <c r="F264" i="126"/>
  <c r="E264" i="126"/>
  <c r="D264" i="126"/>
  <c r="F256" i="126"/>
  <c r="E256" i="126"/>
  <c r="D256" i="126"/>
  <c r="N24" i="145"/>
  <c r="O24" i="145" s="1"/>
  <c r="N49" i="145"/>
  <c r="O49" i="145" s="1"/>
  <c r="N42" i="145"/>
  <c r="O42" i="145" s="1"/>
  <c r="N52" i="145"/>
  <c r="O52" i="145" s="1"/>
  <c r="N45" i="145"/>
  <c r="O45" i="145" s="1"/>
  <c r="N38" i="145"/>
  <c r="O38" i="145" s="1"/>
  <c r="N35" i="145"/>
  <c r="O35" i="145" s="1"/>
  <c r="O18" i="145"/>
  <c r="N31" i="145"/>
  <c r="N30" i="145"/>
  <c r="N29" i="145"/>
  <c r="O29" i="145" s="1"/>
  <c r="N28" i="145"/>
  <c r="O28" i="145" s="1"/>
  <c r="N27" i="145"/>
  <c r="O27" i="145" s="1"/>
  <c r="O31" i="145"/>
  <c r="O30" i="145"/>
  <c r="O15" i="145"/>
  <c r="N18" i="145"/>
  <c r="N15" i="145"/>
  <c r="K25" i="142" l="1"/>
  <c r="J25" i="142"/>
  <c r="H37" i="142"/>
  <c r="G37" i="142"/>
  <c r="F37" i="142"/>
  <c r="O25" i="142"/>
  <c r="N25" i="142"/>
  <c r="M25" i="142"/>
  <c r="L25" i="142"/>
  <c r="I25" i="142"/>
  <c r="H25" i="142"/>
  <c r="G25" i="142"/>
  <c r="F25" i="142"/>
  <c r="H9" i="133" l="1"/>
  <c r="M15" i="133"/>
  <c r="N10" i="133"/>
  <c r="N16" i="133"/>
  <c r="N15" i="133"/>
  <c r="G14" i="136" l="1"/>
  <c r="R22" i="101"/>
  <c r="Q22" i="101"/>
  <c r="P22" i="101"/>
  <c r="O22" i="101"/>
  <c r="N22" i="101"/>
  <c r="C22" i="101"/>
  <c r="P113" i="126" l="1"/>
  <c r="Q18" i="146"/>
  <c r="Q17" i="146"/>
  <c r="Q16" i="146"/>
  <c r="N357" i="129" l="1"/>
  <c r="N356" i="129"/>
  <c r="L233" i="129"/>
  <c r="M236" i="129"/>
  <c r="P234" i="129"/>
  <c r="O16" i="134"/>
  <c r="M31" i="146" l="1"/>
  <c r="M29" i="146"/>
  <c r="M28" i="146"/>
  <c r="M32" i="146"/>
  <c r="M30" i="146"/>
  <c r="O32" i="146"/>
  <c r="O31" i="146"/>
  <c r="O30" i="146"/>
  <c r="O29" i="146"/>
  <c r="O28" i="146"/>
  <c r="J32" i="146"/>
  <c r="J31" i="146"/>
  <c r="J24" i="146"/>
  <c r="J25" i="146"/>
  <c r="J30" i="146"/>
  <c r="J29" i="146"/>
  <c r="J28" i="146"/>
  <c r="O25" i="146"/>
  <c r="M25" i="146"/>
  <c r="M24" i="146"/>
  <c r="L32" i="146"/>
  <c r="L31" i="146"/>
  <c r="L30" i="146"/>
  <c r="L29" i="146"/>
  <c r="L28" i="146"/>
  <c r="L25" i="146"/>
  <c r="L24" i="146"/>
  <c r="B7" i="146"/>
  <c r="B8" i="146" s="1"/>
  <c r="B9" i="146" s="1"/>
  <c r="B10" i="146" s="1"/>
  <c r="B11" i="146" s="1"/>
  <c r="B12" i="146" s="1"/>
  <c r="B13" i="146" s="1"/>
  <c r="B14" i="146" s="1"/>
  <c r="B15" i="146" s="1"/>
  <c r="B16" i="146" s="1"/>
  <c r="B17" i="146" s="1"/>
  <c r="G12" i="146"/>
  <c r="F12" i="146"/>
  <c r="E12" i="146"/>
  <c r="D12" i="146"/>
  <c r="I11" i="146" l="1"/>
  <c r="G14" i="137" l="1"/>
  <c r="O24" i="146" s="1"/>
  <c r="G38" i="137"/>
  <c r="G37" i="137"/>
  <c r="G31" i="137"/>
  <c r="G30" i="137"/>
  <c r="G29" i="137"/>
  <c r="G20" i="137"/>
  <c r="G20" i="136"/>
  <c r="G38" i="136"/>
  <c r="G37" i="136"/>
  <c r="G31" i="136"/>
  <c r="G30" i="136"/>
  <c r="I44" i="76" l="1"/>
  <c r="F44" i="76"/>
  <c r="N79" i="58" l="1"/>
  <c r="Y19" i="101"/>
  <c r="Y21" i="101"/>
  <c r="W22" i="101"/>
  <c r="W21" i="101"/>
  <c r="W20" i="101"/>
  <c r="W19" i="101"/>
  <c r="W18" i="101"/>
  <c r="W17" i="101"/>
  <c r="W14" i="101"/>
  <c r="W13" i="101"/>
  <c r="V22" i="101"/>
  <c r="U22" i="101"/>
  <c r="T22" i="101"/>
  <c r="S22" i="101"/>
  <c r="T21" i="101"/>
  <c r="T20" i="101"/>
  <c r="T19" i="101"/>
  <c r="T18" i="101"/>
  <c r="T17" i="101"/>
  <c r="T14" i="101"/>
  <c r="T13" i="101"/>
  <c r="V21" i="101"/>
  <c r="V20" i="101"/>
  <c r="V19" i="101"/>
  <c r="V18" i="101"/>
  <c r="V17" i="101"/>
  <c r="V14" i="101"/>
  <c r="V13" i="101"/>
  <c r="U21" i="101"/>
  <c r="U20" i="101"/>
  <c r="U19" i="101"/>
  <c r="U18" i="101"/>
  <c r="U17" i="101"/>
  <c r="U14" i="101"/>
  <c r="U13" i="101"/>
  <c r="S21" i="101"/>
  <c r="S20" i="101"/>
  <c r="S19" i="101"/>
  <c r="S18" i="101"/>
  <c r="S17" i="101"/>
  <c r="S14" i="101"/>
  <c r="S13" i="101"/>
  <c r="P21" i="101"/>
  <c r="P20" i="101"/>
  <c r="P19" i="101"/>
  <c r="P18" i="101"/>
  <c r="P17" i="101"/>
  <c r="P14" i="101"/>
  <c r="P13" i="101"/>
  <c r="Q21" i="101"/>
  <c r="Q20" i="101"/>
  <c r="Q19" i="101"/>
  <c r="Q18" i="101"/>
  <c r="Q14" i="101"/>
  <c r="Q13" i="101"/>
  <c r="O21" i="101"/>
  <c r="Z21" i="101" s="1"/>
  <c r="N20" i="101"/>
  <c r="Y20" i="101" s="1"/>
  <c r="Z20" i="101" s="1"/>
  <c r="O19" i="101"/>
  <c r="N18" i="101"/>
  <c r="O13" i="101"/>
  <c r="X22" i="101"/>
  <c r="Q36" i="82"/>
  <c r="Q120" i="82"/>
  <c r="A114" i="82"/>
  <c r="A115" i="82" s="1"/>
  <c r="A116" i="82" s="1"/>
  <c r="A117" i="82" s="1"/>
  <c r="A118" i="82" s="1"/>
  <c r="A119" i="82" s="1"/>
  <c r="A120" i="82" s="1"/>
  <c r="A113" i="82"/>
  <c r="A134" i="82"/>
  <c r="A135" i="82" s="1"/>
  <c r="A136" i="82" s="1"/>
  <c r="A137" i="82" s="1"/>
  <c r="A133" i="82"/>
  <c r="A130" i="82"/>
  <c r="A146" i="82"/>
  <c r="A147" i="82" s="1"/>
  <c r="A148" i="82" s="1"/>
  <c r="A149" i="82" s="1"/>
  <c r="A150" i="82" s="1"/>
  <c r="A151" i="82" s="1"/>
  <c r="A152" i="82" s="1"/>
  <c r="A145" i="82"/>
  <c r="A166" i="82"/>
  <c r="A167" i="82" s="1"/>
  <c r="A168" i="82" s="1"/>
  <c r="A169" i="82" s="1"/>
  <c r="A165" i="82"/>
  <c r="Q166" i="82"/>
  <c r="N112" i="82"/>
  <c r="E120" i="117"/>
  <c r="E119" i="117"/>
  <c r="E114" i="117"/>
  <c r="E100" i="117"/>
  <c r="F99" i="117"/>
  <c r="E99" i="117"/>
  <c r="C64" i="126"/>
  <c r="B64" i="126"/>
  <c r="K63" i="126"/>
  <c r="J63" i="126"/>
  <c r="G63" i="126"/>
  <c r="F63" i="126"/>
  <c r="C63" i="126"/>
  <c r="B63" i="126"/>
  <c r="M56" i="126"/>
  <c r="L56" i="126"/>
  <c r="K56" i="126"/>
  <c r="J56" i="126"/>
  <c r="I56" i="126"/>
  <c r="H56" i="126"/>
  <c r="G56" i="126"/>
  <c r="F56" i="126"/>
  <c r="E56" i="126"/>
  <c r="D56" i="126"/>
  <c r="C56" i="126"/>
  <c r="M55" i="126"/>
  <c r="L55" i="126"/>
  <c r="K55" i="126"/>
  <c r="J55" i="126"/>
  <c r="I55" i="126"/>
  <c r="H55" i="126"/>
  <c r="G55" i="126"/>
  <c r="F55" i="126"/>
  <c r="E55" i="126"/>
  <c r="D55" i="126"/>
  <c r="C55" i="126"/>
  <c r="M54" i="126"/>
  <c r="L54" i="126"/>
  <c r="K54" i="126"/>
  <c r="J54" i="126"/>
  <c r="I54" i="126"/>
  <c r="H54" i="126"/>
  <c r="G54" i="126"/>
  <c r="F54" i="126"/>
  <c r="E54" i="126"/>
  <c r="D54" i="126"/>
  <c r="C54" i="126"/>
  <c r="M53" i="126"/>
  <c r="L53" i="126"/>
  <c r="K53" i="126"/>
  <c r="J53" i="126"/>
  <c r="I53" i="126"/>
  <c r="H53" i="126"/>
  <c r="G53" i="126"/>
  <c r="F53" i="126"/>
  <c r="E53" i="126"/>
  <c r="D53" i="126"/>
  <c r="C53" i="126"/>
  <c r="B56" i="126"/>
  <c r="B55" i="126"/>
  <c r="B54" i="126"/>
  <c r="B53" i="126"/>
  <c r="M50" i="126"/>
  <c r="L50" i="126"/>
  <c r="K50" i="126"/>
  <c r="J50" i="126"/>
  <c r="I50" i="126"/>
  <c r="H50" i="126"/>
  <c r="G50" i="126"/>
  <c r="F50" i="126"/>
  <c r="E50" i="126"/>
  <c r="D50" i="126"/>
  <c r="M49" i="126"/>
  <c r="M63" i="126" s="1"/>
  <c r="L49" i="126"/>
  <c r="L63" i="126" s="1"/>
  <c r="K49" i="126"/>
  <c r="J49" i="126"/>
  <c r="I49" i="126"/>
  <c r="I63" i="126" s="1"/>
  <c r="H49" i="126"/>
  <c r="H63" i="126" s="1"/>
  <c r="G49" i="126"/>
  <c r="F49" i="126"/>
  <c r="E49" i="126"/>
  <c r="E63" i="126" s="1"/>
  <c r="D49" i="126"/>
  <c r="D63" i="126" s="1"/>
  <c r="C49" i="126"/>
  <c r="B49" i="126"/>
  <c r="L11" i="107"/>
  <c r="K11" i="107"/>
  <c r="Q103" i="82"/>
  <c r="O115" i="126"/>
  <c r="N115" i="126"/>
  <c r="M115" i="126"/>
  <c r="L115" i="126"/>
  <c r="K115" i="126"/>
  <c r="J115" i="126"/>
  <c r="I115" i="126"/>
  <c r="H115" i="126"/>
  <c r="G115" i="126"/>
  <c r="F115" i="126"/>
  <c r="E115" i="126"/>
  <c r="D115" i="126"/>
  <c r="O111" i="126"/>
  <c r="N111" i="126"/>
  <c r="M111" i="126"/>
  <c r="L111" i="126"/>
  <c r="K111" i="126"/>
  <c r="J111" i="126"/>
  <c r="P111" i="126" s="1"/>
  <c r="Q102" i="82" s="1"/>
  <c r="O110" i="126"/>
  <c r="N110" i="126"/>
  <c r="M110" i="126"/>
  <c r="M112" i="126" s="1"/>
  <c r="L110" i="126"/>
  <c r="L112" i="126" s="1"/>
  <c r="K110" i="126"/>
  <c r="J110" i="126"/>
  <c r="O108" i="126"/>
  <c r="O112" i="126" s="1"/>
  <c r="N108" i="126"/>
  <c r="N112" i="126" s="1"/>
  <c r="M108" i="126"/>
  <c r="L108" i="126"/>
  <c r="K108" i="126"/>
  <c r="K112" i="126" s="1"/>
  <c r="J108" i="126"/>
  <c r="J112" i="126" s="1"/>
  <c r="P81" i="117"/>
  <c r="O81" i="117"/>
  <c r="N81" i="117"/>
  <c r="M81" i="117"/>
  <c r="L81" i="117"/>
  <c r="K81" i="117"/>
  <c r="J81" i="117"/>
  <c r="H81" i="117"/>
  <c r="G81" i="117"/>
  <c r="F81" i="117"/>
  <c r="O80" i="117"/>
  <c r="K80" i="117"/>
  <c r="O90" i="126"/>
  <c r="N90" i="126"/>
  <c r="M90" i="126"/>
  <c r="L90" i="126"/>
  <c r="K90" i="126"/>
  <c r="J90" i="126"/>
  <c r="F90" i="126"/>
  <c r="E90" i="126"/>
  <c r="K91" i="126"/>
  <c r="O89" i="126"/>
  <c r="P80" i="117" s="1"/>
  <c r="N89" i="126"/>
  <c r="M89" i="126"/>
  <c r="N80" i="117" s="1"/>
  <c r="L89" i="126"/>
  <c r="M80" i="117" s="1"/>
  <c r="K89" i="126"/>
  <c r="L80" i="117" s="1"/>
  <c r="J89" i="126"/>
  <c r="P110" i="126" l="1"/>
  <c r="Q101" i="82" s="1"/>
  <c r="Z19" i="101"/>
  <c r="Y17" i="101"/>
  <c r="Y13" i="101"/>
  <c r="Z13" i="101" s="1"/>
  <c r="Y18" i="101"/>
  <c r="Z18" i="101" s="1"/>
  <c r="Y14" i="101"/>
  <c r="Y22" i="101" l="1"/>
  <c r="C22" i="134" l="1"/>
  <c r="C21" i="134"/>
  <c r="B135" i="88"/>
  <c r="O79" i="126"/>
  <c r="N79" i="126"/>
  <c r="M79" i="126"/>
  <c r="L79" i="126"/>
  <c r="K79" i="126"/>
  <c r="J79" i="126"/>
  <c r="I79" i="126"/>
  <c r="J74" i="117" s="1"/>
  <c r="J75" i="117" s="1"/>
  <c r="O15" i="134"/>
  <c r="O14" i="134"/>
  <c r="O13" i="134"/>
  <c r="O12" i="134"/>
  <c r="O11" i="134"/>
  <c r="O10" i="134"/>
  <c r="O9" i="134"/>
  <c r="O8" i="134"/>
  <c r="O7" i="134"/>
  <c r="O6" i="134"/>
  <c r="C50" i="126"/>
  <c r="B50" i="126"/>
  <c r="I98" i="88"/>
  <c r="J98" i="88"/>
  <c r="K98" i="88"/>
  <c r="L98" i="88"/>
  <c r="M98" i="88"/>
  <c r="N98" i="88"/>
  <c r="I99" i="88"/>
  <c r="J99" i="88"/>
  <c r="K99" i="88"/>
  <c r="L99" i="88"/>
  <c r="M99" i="88"/>
  <c r="N99" i="88"/>
  <c r="I101" i="88"/>
  <c r="J101" i="88"/>
  <c r="K101" i="88"/>
  <c r="L101" i="88"/>
  <c r="M101" i="88"/>
  <c r="N101" i="88"/>
  <c r="I102" i="88"/>
  <c r="J102" i="88"/>
  <c r="K102" i="88"/>
  <c r="L102" i="88"/>
  <c r="M102" i="88"/>
  <c r="N102" i="88"/>
  <c r="I103" i="88"/>
  <c r="J103" i="88"/>
  <c r="K103" i="88"/>
  <c r="L103" i="88"/>
  <c r="M103" i="88"/>
  <c r="N103" i="88"/>
  <c r="I104" i="88"/>
  <c r="J104" i="88"/>
  <c r="K104" i="88"/>
  <c r="L104" i="88"/>
  <c r="M104" i="88"/>
  <c r="N104" i="88"/>
  <c r="I105" i="88"/>
  <c r="J105" i="88"/>
  <c r="K105" i="88"/>
  <c r="L105" i="88"/>
  <c r="M105" i="88"/>
  <c r="N105" i="88"/>
  <c r="K88" i="126" l="1"/>
  <c r="L79" i="117" s="1"/>
  <c r="L74" i="117"/>
  <c r="L75" i="117" s="1"/>
  <c r="O88" i="126"/>
  <c r="P79" i="117" s="1"/>
  <c r="P74" i="117"/>
  <c r="P75" i="117" s="1"/>
  <c r="L88" i="126"/>
  <c r="M79" i="117" s="1"/>
  <c r="M74" i="117"/>
  <c r="M75" i="117" s="1"/>
  <c r="M88" i="126"/>
  <c r="N79" i="117" s="1"/>
  <c r="N74" i="117"/>
  <c r="N75" i="117" s="1"/>
  <c r="J88" i="126"/>
  <c r="K79" i="117" s="1"/>
  <c r="K74" i="117"/>
  <c r="K75" i="117" s="1"/>
  <c r="N88" i="126"/>
  <c r="O79" i="117" s="1"/>
  <c r="O74" i="117"/>
  <c r="O75" i="117" s="1"/>
  <c r="O82" i="117" l="1"/>
  <c r="N82" i="117"/>
  <c r="P82" i="117"/>
  <c r="K82" i="117"/>
  <c r="M82" i="117"/>
  <c r="L82" i="117"/>
  <c r="N38" i="143"/>
  <c r="N31" i="143"/>
  <c r="H43" i="75"/>
  <c r="M10" i="76" l="1"/>
  <c r="F61" i="61"/>
  <c r="F15" i="61"/>
  <c r="J17" i="115" l="1"/>
  <c r="H14" i="114" l="1"/>
  <c r="H16" i="114"/>
  <c r="AE41" i="113" l="1"/>
  <c r="Z35" i="113"/>
  <c r="Y40" i="113"/>
  <c r="Y39" i="113"/>
  <c r="Y38" i="113"/>
  <c r="Y37" i="113"/>
  <c r="Y36" i="113"/>
  <c r="Y35" i="113"/>
  <c r="X35" i="113"/>
  <c r="Y34" i="113"/>
  <c r="Y33" i="113"/>
  <c r="W35" i="113"/>
  <c r="U35" i="113"/>
  <c r="P41" i="113"/>
  <c r="Q40" i="113"/>
  <c r="Q39" i="113"/>
  <c r="Q38" i="113"/>
  <c r="Q37" i="113"/>
  <c r="Q36" i="113"/>
  <c r="Q34" i="113"/>
  <c r="Q33" i="113"/>
  <c r="Q41" i="113" s="1"/>
  <c r="O40" i="113"/>
  <c r="O39" i="113"/>
  <c r="O38" i="113"/>
  <c r="O37" i="113"/>
  <c r="O33" i="113"/>
  <c r="Z16" i="113"/>
  <c r="X16" i="113"/>
  <c r="O22" i="113"/>
  <c r="O21" i="113"/>
  <c r="O20" i="113"/>
  <c r="O18" i="113"/>
  <c r="O17" i="113"/>
  <c r="O15" i="113"/>
  <c r="O14" i="113"/>
  <c r="G29" i="136"/>
  <c r="F26" i="61"/>
  <c r="F27" i="61" s="1"/>
  <c r="E101" i="112"/>
  <c r="H100" i="112"/>
  <c r="G100" i="112"/>
  <c r="H99" i="112"/>
  <c r="G99" i="112"/>
  <c r="H98" i="112"/>
  <c r="G98" i="112"/>
  <c r="H97" i="112"/>
  <c r="G97" i="112"/>
  <c r="H96" i="112"/>
  <c r="G96" i="112"/>
  <c r="H95" i="112"/>
  <c r="G95" i="112"/>
  <c r="H94" i="112"/>
  <c r="G94" i="112"/>
  <c r="H93" i="112"/>
  <c r="G93" i="112"/>
  <c r="H92" i="112"/>
  <c r="G92" i="112"/>
  <c r="H91" i="112"/>
  <c r="G91" i="112"/>
  <c r="H90" i="112"/>
  <c r="G90" i="112"/>
  <c r="H89" i="112"/>
  <c r="H101" i="112" s="1"/>
  <c r="G89" i="112"/>
  <c r="E55" i="112"/>
  <c r="H54" i="112"/>
  <c r="G54" i="112"/>
  <c r="H53" i="112"/>
  <c r="G53" i="112"/>
  <c r="H52" i="112"/>
  <c r="G52" i="112"/>
  <c r="H51" i="112"/>
  <c r="G51" i="112"/>
  <c r="H50" i="112"/>
  <c r="G50" i="112"/>
  <c r="H49" i="112"/>
  <c r="G49" i="112"/>
  <c r="H48" i="112"/>
  <c r="G48" i="112"/>
  <c r="H47" i="112"/>
  <c r="G47" i="112"/>
  <c r="H46" i="112"/>
  <c r="G46" i="112"/>
  <c r="H45" i="112"/>
  <c r="G45" i="112"/>
  <c r="H44" i="112"/>
  <c r="G44" i="112"/>
  <c r="H55" i="112" l="1"/>
  <c r="R10" i="76" l="1"/>
  <c r="R11" i="76" s="1"/>
  <c r="R12" i="76" s="1"/>
  <c r="P10" i="76"/>
  <c r="P11" i="76" s="1"/>
  <c r="P12" i="76" s="1"/>
  <c r="M11" i="76"/>
  <c r="M12" i="76" s="1"/>
  <c r="E100" i="76"/>
  <c r="G99" i="76"/>
  <c r="F99" i="76"/>
  <c r="E99" i="76"/>
  <c r="D99" i="76"/>
  <c r="D100" i="76" s="1"/>
  <c r="G98" i="76"/>
  <c r="G100" i="76" s="1"/>
  <c r="F98" i="76"/>
  <c r="F100" i="76" s="1"/>
  <c r="G92" i="76"/>
  <c r="F92" i="76"/>
  <c r="E92" i="76"/>
  <c r="D92" i="76"/>
  <c r="G91" i="76"/>
  <c r="F91" i="76"/>
  <c r="G86" i="76"/>
  <c r="F86" i="76"/>
  <c r="E85" i="76"/>
  <c r="D85" i="76"/>
  <c r="G85" i="76"/>
  <c r="F85" i="76"/>
  <c r="G84" i="76"/>
  <c r="F84" i="76"/>
  <c r="F25" i="76" l="1"/>
  <c r="E25" i="76"/>
  <c r="G93" i="76"/>
  <c r="F93" i="76"/>
  <c r="E93" i="76"/>
  <c r="D93" i="76"/>
  <c r="E86" i="76"/>
  <c r="D86" i="76"/>
  <c r="I74" i="76"/>
  <c r="F74" i="76"/>
  <c r="I70" i="76"/>
  <c r="F70" i="76"/>
  <c r="I49" i="76"/>
  <c r="F49" i="76"/>
  <c r="AB41" i="113"/>
  <c r="AB22" i="113"/>
  <c r="AE22" i="113"/>
  <c r="Y22" i="113"/>
  <c r="W22" i="113"/>
  <c r="V22" i="113"/>
  <c r="U22" i="113"/>
  <c r="T22" i="113"/>
  <c r="S22" i="113"/>
  <c r="R22" i="113"/>
  <c r="T21" i="113"/>
  <c r="T20" i="113"/>
  <c r="T19" i="113"/>
  <c r="T18" i="113"/>
  <c r="T17" i="113"/>
  <c r="T16" i="113"/>
  <c r="T15" i="113"/>
  <c r="T14" i="113"/>
  <c r="N35" i="113"/>
  <c r="Y41" i="113"/>
  <c r="V41" i="113"/>
  <c r="T41" i="113"/>
  <c r="S41" i="113"/>
  <c r="R41" i="113"/>
  <c r="O41" i="113"/>
  <c r="M41" i="113"/>
  <c r="J41" i="113"/>
  <c r="K35" i="113"/>
  <c r="H41" i="113"/>
  <c r="F32" i="113"/>
  <c r="D41" i="113"/>
  <c r="P22" i="113"/>
  <c r="Q21" i="113"/>
  <c r="Q20" i="113"/>
  <c r="Q19" i="113"/>
  <c r="Q18" i="113"/>
  <c r="Q17" i="113"/>
  <c r="Q15" i="113"/>
  <c r="Q14" i="113"/>
  <c r="M22" i="113"/>
  <c r="J22" i="113"/>
  <c r="I16" i="113"/>
  <c r="H22" i="113"/>
  <c r="F13" i="113"/>
  <c r="D22" i="113"/>
  <c r="Q22" i="113" l="1"/>
  <c r="D79" i="112" l="1"/>
  <c r="D78" i="112"/>
  <c r="G77" i="112"/>
  <c r="D77" i="112"/>
  <c r="G76" i="112"/>
  <c r="D76" i="112"/>
  <c r="G75" i="112"/>
  <c r="D75" i="112"/>
  <c r="G74" i="112"/>
  <c r="D74" i="112"/>
  <c r="D73" i="112"/>
  <c r="G73" i="112" s="1"/>
  <c r="D72" i="112"/>
  <c r="G72" i="112" s="1"/>
  <c r="D71" i="112"/>
  <c r="G71" i="112" s="1"/>
  <c r="D70" i="112"/>
  <c r="G70" i="112" s="1"/>
  <c r="D69" i="112"/>
  <c r="G69" i="112" s="1"/>
  <c r="D68" i="112"/>
  <c r="G68" i="112" s="1"/>
  <c r="D67" i="112"/>
  <c r="G67" i="112" s="1"/>
  <c r="D66" i="112"/>
  <c r="G66" i="112" s="1"/>
  <c r="D65" i="112"/>
  <c r="G65" i="112" s="1"/>
  <c r="D64" i="112"/>
  <c r="G64" i="112" s="1"/>
  <c r="G34" i="112"/>
  <c r="D34" i="112"/>
  <c r="G33" i="112"/>
  <c r="D33" i="112"/>
  <c r="G32" i="112"/>
  <c r="D32" i="112"/>
  <c r="G31" i="112"/>
  <c r="D31" i="112"/>
  <c r="G30" i="112"/>
  <c r="D30" i="112"/>
  <c r="G29" i="112"/>
  <c r="D29" i="112"/>
  <c r="G28" i="112"/>
  <c r="D28" i="112"/>
  <c r="G27" i="112"/>
  <c r="D27" i="112"/>
  <c r="J27" i="112" s="1"/>
  <c r="G26" i="112"/>
  <c r="D26" i="112"/>
  <c r="G25" i="112"/>
  <c r="D25" i="112"/>
  <c r="G24" i="112"/>
  <c r="D24" i="112"/>
  <c r="G23" i="112"/>
  <c r="D23" i="112"/>
  <c r="J23" i="112" s="1"/>
  <c r="G22" i="112"/>
  <c r="D22" i="112"/>
  <c r="G21" i="112"/>
  <c r="D21" i="112"/>
  <c r="G20" i="112"/>
  <c r="D20" i="112"/>
  <c r="G19" i="112"/>
  <c r="D19" i="112"/>
  <c r="G18" i="112"/>
  <c r="D18" i="112"/>
  <c r="G17" i="112"/>
  <c r="D17" i="112"/>
  <c r="J18" i="112" l="1"/>
  <c r="J20" i="112"/>
  <c r="J22" i="112"/>
  <c r="J28" i="112"/>
  <c r="J30" i="112"/>
  <c r="J32" i="112"/>
  <c r="J34" i="112"/>
  <c r="J17" i="112"/>
  <c r="J33" i="112"/>
  <c r="J19" i="112"/>
  <c r="J26" i="112"/>
  <c r="J21" i="112"/>
  <c r="J25" i="112"/>
  <c r="J24" i="112"/>
  <c r="J29" i="112"/>
  <c r="J31" i="112"/>
  <c r="AE52" i="144" l="1"/>
  <c r="AD45" i="144"/>
  <c r="L66" i="143"/>
  <c r="E66" i="143" s="1"/>
  <c r="G66" i="143" s="1"/>
  <c r="L65" i="143"/>
  <c r="E65" i="143" s="1"/>
  <c r="G65" i="143" s="1"/>
  <c r="N53" i="143"/>
  <c r="N54" i="143" s="1"/>
  <c r="N45" i="143"/>
  <c r="N46" i="143" s="1"/>
  <c r="N16" i="143"/>
  <c r="N19" i="143" s="1"/>
  <c r="O14" i="143"/>
  <c r="O35" i="142"/>
  <c r="K35" i="142"/>
  <c r="G35" i="142"/>
  <c r="E33" i="142"/>
  <c r="E35" i="142" s="1"/>
  <c r="C30" i="142"/>
  <c r="C28" i="142"/>
  <c r="N35" i="142"/>
  <c r="M35" i="142"/>
  <c r="L35" i="142"/>
  <c r="J35" i="142"/>
  <c r="I35" i="142"/>
  <c r="H35" i="142"/>
  <c r="F35" i="142"/>
  <c r="E25" i="142"/>
  <c r="O13" i="142"/>
  <c r="N13" i="142"/>
  <c r="M13" i="142"/>
  <c r="M37" i="142" s="1"/>
  <c r="L13" i="142"/>
  <c r="K13" i="142"/>
  <c r="K37" i="142" s="1"/>
  <c r="J13" i="142"/>
  <c r="I13" i="142"/>
  <c r="I37" i="142" s="1"/>
  <c r="H13" i="142"/>
  <c r="F13" i="142"/>
  <c r="E13" i="142"/>
  <c r="G12" i="142"/>
  <c r="G13" i="142" s="1"/>
  <c r="O37" i="142" l="1"/>
  <c r="L37" i="142"/>
  <c r="E37" i="142"/>
  <c r="J37" i="142"/>
  <c r="N37" i="142"/>
  <c r="F90" i="78" l="1"/>
  <c r="F28" i="78"/>
  <c r="F27" i="78"/>
  <c r="F26" i="78"/>
  <c r="F25" i="78"/>
  <c r="K26" i="120"/>
  <c r="J26" i="120"/>
  <c r="G26" i="120"/>
  <c r="D26" i="120"/>
  <c r="L11" i="120"/>
  <c r="K11" i="120"/>
  <c r="J11" i="120"/>
  <c r="G11" i="120"/>
  <c r="D11" i="120"/>
  <c r="J25" i="90"/>
  <c r="K79" i="58" l="1"/>
  <c r="H45" i="75"/>
  <c r="M45" i="75"/>
  <c r="H24" i="54" l="1"/>
  <c r="H9" i="82"/>
  <c r="H11" i="107"/>
  <c r="D46" i="135"/>
  <c r="D48" i="135" s="1"/>
  <c r="E46" i="135"/>
  <c r="D47" i="135"/>
  <c r="S73" i="117" l="1"/>
  <c r="I43" i="126"/>
  <c r="R44" i="75" l="1"/>
  <c r="R43" i="75"/>
  <c r="R42" i="75"/>
  <c r="R41" i="75"/>
  <c r="R40" i="75"/>
  <c r="R39" i="75"/>
  <c r="N66" i="61"/>
  <c r="F66" i="61"/>
  <c r="R11" i="120"/>
  <c r="P11" i="120"/>
  <c r="K199" i="126"/>
  <c r="J199" i="126"/>
  <c r="R15" i="120" l="1"/>
  <c r="P15" i="120"/>
  <c r="R30" i="120"/>
  <c r="P30" i="120"/>
  <c r="O30" i="120"/>
  <c r="M30" i="120"/>
  <c r="E40" i="138" l="1"/>
  <c r="E39" i="138"/>
  <c r="E38" i="138"/>
  <c r="E37" i="138"/>
  <c r="E36" i="138"/>
  <c r="E35" i="138"/>
  <c r="E34" i="138"/>
  <c r="C40" i="138"/>
  <c r="C39" i="138"/>
  <c r="C38" i="138"/>
  <c r="C37" i="138"/>
  <c r="C36" i="138"/>
  <c r="C35" i="138"/>
  <c r="C34" i="138"/>
  <c r="F11" i="140"/>
  <c r="G5" i="140"/>
  <c r="H79" i="58"/>
  <c r="E5" i="140" s="1"/>
  <c r="F12" i="139"/>
  <c r="F6" i="139"/>
  <c r="F7" i="139" l="1"/>
  <c r="F13" i="139"/>
  <c r="N168" i="106" l="1"/>
  <c r="T14" i="138"/>
  <c r="P29" i="138" s="1"/>
  <c r="S14" i="138"/>
  <c r="O29" i="138" s="1"/>
  <c r="R14" i="138"/>
  <c r="Q14" i="138"/>
  <c r="P14" i="138"/>
  <c r="O14" i="138"/>
  <c r="N14" i="138"/>
  <c r="J29" i="138" s="1"/>
  <c r="L14" i="138"/>
  <c r="H29" i="138" s="1"/>
  <c r="K14" i="138"/>
  <c r="G29" i="138" s="1"/>
  <c r="J14" i="138"/>
  <c r="I14" i="138"/>
  <c r="H14" i="138"/>
  <c r="G14" i="138"/>
  <c r="F14" i="138"/>
  <c r="E14" i="138"/>
  <c r="D14" i="138"/>
  <c r="C14" i="138"/>
  <c r="T13" i="138"/>
  <c r="P28" i="138" s="1"/>
  <c r="S13" i="138"/>
  <c r="O28" i="138" s="1"/>
  <c r="R13" i="138"/>
  <c r="Q13" i="138"/>
  <c r="P13" i="138"/>
  <c r="O13" i="138"/>
  <c r="N13" i="138"/>
  <c r="J28" i="138" s="1"/>
  <c r="L13" i="138"/>
  <c r="H28" i="138" s="1"/>
  <c r="K13" i="138"/>
  <c r="G28" i="138" s="1"/>
  <c r="J13" i="138"/>
  <c r="I13" i="138"/>
  <c r="H13" i="138"/>
  <c r="G13" i="138"/>
  <c r="F13" i="138"/>
  <c r="E13" i="138"/>
  <c r="D13" i="138"/>
  <c r="C13" i="138"/>
  <c r="T12" i="138"/>
  <c r="P27" i="138" s="1"/>
  <c r="S12" i="138"/>
  <c r="O27" i="138" s="1"/>
  <c r="R12" i="138"/>
  <c r="Q12" i="138"/>
  <c r="P12" i="138"/>
  <c r="O12" i="138"/>
  <c r="N12" i="138"/>
  <c r="J27" i="138" s="1"/>
  <c r="L12" i="138"/>
  <c r="H27" i="138" s="1"/>
  <c r="K12" i="138"/>
  <c r="G27" i="138" s="1"/>
  <c r="J12" i="138"/>
  <c r="I12" i="138"/>
  <c r="H12" i="138"/>
  <c r="G12" i="138"/>
  <c r="F12" i="138"/>
  <c r="E12" i="138"/>
  <c r="D12" i="138"/>
  <c r="C12" i="138"/>
  <c r="T11" i="138"/>
  <c r="P26" i="138" s="1"/>
  <c r="S11" i="138"/>
  <c r="O26" i="138" s="1"/>
  <c r="R11" i="138"/>
  <c r="Q11" i="138"/>
  <c r="P11" i="138"/>
  <c r="O11" i="138"/>
  <c r="N11" i="138"/>
  <c r="J26" i="138" s="1"/>
  <c r="L11" i="138"/>
  <c r="H26" i="138" s="1"/>
  <c r="K11" i="138"/>
  <c r="G26" i="138" s="1"/>
  <c r="J11" i="138"/>
  <c r="I11" i="138"/>
  <c r="H11" i="138"/>
  <c r="G11" i="138"/>
  <c r="F11" i="138"/>
  <c r="E11" i="138"/>
  <c r="D11" i="138"/>
  <c r="C11" i="138"/>
  <c r="T10" i="138"/>
  <c r="P25" i="138" s="1"/>
  <c r="S10" i="138"/>
  <c r="O25" i="138" s="1"/>
  <c r="R10" i="138"/>
  <c r="Q10" i="138"/>
  <c r="P10" i="138"/>
  <c r="O10" i="138"/>
  <c r="N10" i="138"/>
  <c r="J25" i="138" s="1"/>
  <c r="L10" i="138"/>
  <c r="H25" i="138" s="1"/>
  <c r="K10" i="138"/>
  <c r="G25" i="138" s="1"/>
  <c r="J10" i="138"/>
  <c r="I10" i="138"/>
  <c r="H10" i="138"/>
  <c r="G10" i="138"/>
  <c r="F10" i="138"/>
  <c r="E10" i="138"/>
  <c r="D10" i="138"/>
  <c r="C10" i="138"/>
  <c r="T8" i="138"/>
  <c r="P23" i="138" s="1"/>
  <c r="S8" i="138"/>
  <c r="O23" i="138" s="1"/>
  <c r="R8" i="138"/>
  <c r="Q8" i="138"/>
  <c r="P8" i="138"/>
  <c r="O8" i="138"/>
  <c r="N8" i="138"/>
  <c r="J23" i="138" s="1"/>
  <c r="L8" i="138"/>
  <c r="H23" i="138" s="1"/>
  <c r="K8" i="138"/>
  <c r="G23" i="138" s="1"/>
  <c r="J8" i="138"/>
  <c r="I8" i="138"/>
  <c r="H8" i="138"/>
  <c r="F8" i="138"/>
  <c r="E8" i="138"/>
  <c r="D8" i="138"/>
  <c r="C8" i="138"/>
  <c r="T7" i="138"/>
  <c r="P22" i="138" s="1"/>
  <c r="S7" i="138"/>
  <c r="O22" i="138" s="1"/>
  <c r="R7" i="138"/>
  <c r="Q7" i="138"/>
  <c r="P7" i="138"/>
  <c r="O7" i="138"/>
  <c r="N7" i="138"/>
  <c r="L7" i="138"/>
  <c r="H22" i="138" s="1"/>
  <c r="K7" i="138"/>
  <c r="G22" i="138" s="1"/>
  <c r="J7" i="138"/>
  <c r="I7" i="138"/>
  <c r="H7" i="138"/>
  <c r="F7" i="138"/>
  <c r="E7" i="138"/>
  <c r="D7" i="138"/>
  <c r="C7" i="138"/>
  <c r="B119" i="78"/>
  <c r="E117" i="78"/>
  <c r="D117" i="78"/>
  <c r="F117" i="78" s="1"/>
  <c r="B117" i="78"/>
  <c r="E116" i="78"/>
  <c r="D116" i="78"/>
  <c r="B116" i="78"/>
  <c r="E115" i="78"/>
  <c r="D115" i="78"/>
  <c r="F115" i="78" s="1"/>
  <c r="B115" i="78"/>
  <c r="B114" i="78"/>
  <c r="B113" i="78"/>
  <c r="B112" i="78"/>
  <c r="B111" i="78"/>
  <c r="B110" i="78"/>
  <c r="B109" i="78"/>
  <c r="B108" i="78"/>
  <c r="B107" i="78"/>
  <c r="B106" i="78"/>
  <c r="B105" i="78"/>
  <c r="B104" i="78"/>
  <c r="B103" i="78"/>
  <c r="D102" i="78"/>
  <c r="B102" i="78"/>
  <c r="B101" i="78"/>
  <c r="B86" i="78"/>
  <c r="E84" i="78"/>
  <c r="D84" i="78"/>
  <c r="B84" i="78"/>
  <c r="B83" i="78"/>
  <c r="B82" i="78"/>
  <c r="B81" i="78"/>
  <c r="B80" i="78"/>
  <c r="B79" i="78"/>
  <c r="B78" i="78"/>
  <c r="B77" i="78"/>
  <c r="B76" i="78"/>
  <c r="B75" i="78"/>
  <c r="B74" i="78"/>
  <c r="D73" i="78"/>
  <c r="B73" i="78"/>
  <c r="E55" i="78"/>
  <c r="D55" i="78"/>
  <c r="B55" i="78"/>
  <c r="E54" i="78"/>
  <c r="D54" i="78"/>
  <c r="B54" i="78"/>
  <c r="E53" i="78"/>
  <c r="D53" i="78"/>
  <c r="B53" i="78"/>
  <c r="B52" i="78"/>
  <c r="B51" i="78"/>
  <c r="B50" i="78"/>
  <c r="B49" i="78"/>
  <c r="B48" i="78"/>
  <c r="B47" i="78"/>
  <c r="B46" i="78"/>
  <c r="B45" i="78"/>
  <c r="B44" i="78"/>
  <c r="B43" i="78"/>
  <c r="B42" i="78"/>
  <c r="B41" i="78"/>
  <c r="D40" i="78"/>
  <c r="B40" i="78"/>
  <c r="B39" i="78"/>
  <c r="D38" i="78"/>
  <c r="E23" i="78"/>
  <c r="D23" i="78"/>
  <c r="B23" i="78"/>
  <c r="B22" i="78"/>
  <c r="B21" i="78"/>
  <c r="B20" i="78"/>
  <c r="B19" i="78"/>
  <c r="B18" i="78"/>
  <c r="B17" i="78"/>
  <c r="B16" i="78"/>
  <c r="B15" i="78"/>
  <c r="B14" i="78"/>
  <c r="B13" i="78"/>
  <c r="D12" i="78"/>
  <c r="B12" i="78"/>
  <c r="B26" i="109"/>
  <c r="B25" i="109"/>
  <c r="B24" i="109"/>
  <c r="B23" i="109"/>
  <c r="B15" i="109"/>
  <c r="B14" i="109"/>
  <c r="B13" i="109"/>
  <c r="B12" i="109"/>
  <c r="G51" i="106"/>
  <c r="E51" i="106"/>
  <c r="G34" i="106"/>
  <c r="E34" i="106"/>
  <c r="R46" i="137"/>
  <c r="Q46" i="137"/>
  <c r="W45" i="137"/>
  <c r="R44" i="137"/>
  <c r="Q44" i="137"/>
  <c r="B44" i="137"/>
  <c r="V14" i="138"/>
  <c r="R29" i="138" s="1"/>
  <c r="E38" i="137"/>
  <c r="C38" i="137"/>
  <c r="M38" i="137" s="1"/>
  <c r="N37" i="137"/>
  <c r="V13" i="138"/>
  <c r="R28" i="138" s="1"/>
  <c r="D37" i="137"/>
  <c r="V12" i="138"/>
  <c r="R27" i="138" s="1"/>
  <c r="E31" i="137"/>
  <c r="C31" i="137"/>
  <c r="M31" i="137" s="1"/>
  <c r="N30" i="137"/>
  <c r="V11" i="138"/>
  <c r="R26" i="138" s="1"/>
  <c r="D30" i="137"/>
  <c r="C30" i="137"/>
  <c r="M30" i="137" s="1"/>
  <c r="N29" i="137"/>
  <c r="V10" i="138"/>
  <c r="R25" i="138" s="1"/>
  <c r="D29" i="137"/>
  <c r="W28" i="137"/>
  <c r="W27" i="137"/>
  <c r="R26" i="137"/>
  <c r="Q26" i="137"/>
  <c r="M26" i="137"/>
  <c r="B26" i="137"/>
  <c r="T20" i="137"/>
  <c r="V8" i="138"/>
  <c r="R23" i="138" s="1"/>
  <c r="E20" i="137"/>
  <c r="G18" i="137"/>
  <c r="G17" i="137"/>
  <c r="G16" i="137"/>
  <c r="G15" i="137"/>
  <c r="E14" i="137"/>
  <c r="R46" i="136"/>
  <c r="Q46" i="136"/>
  <c r="W45" i="136"/>
  <c r="U45" i="136"/>
  <c r="R44" i="136"/>
  <c r="Q44" i="136"/>
  <c r="B44" i="136"/>
  <c r="M38" i="136"/>
  <c r="N37" i="136"/>
  <c r="M31" i="136"/>
  <c r="N30" i="136"/>
  <c r="N29" i="136"/>
  <c r="W28" i="136"/>
  <c r="U28" i="136"/>
  <c r="W27" i="136"/>
  <c r="U27" i="136"/>
  <c r="R26" i="136"/>
  <c r="Q26" i="136"/>
  <c r="M26" i="136"/>
  <c r="B26" i="136"/>
  <c r="N20" i="136"/>
  <c r="K20" i="136"/>
  <c r="K14" i="136"/>
  <c r="N14" i="136" s="1"/>
  <c r="Q46" i="100"/>
  <c r="W45" i="100"/>
  <c r="R44" i="100"/>
  <c r="Q44" i="100"/>
  <c r="B44" i="100"/>
  <c r="C38" i="100"/>
  <c r="M38" i="100" s="1"/>
  <c r="N37" i="100"/>
  <c r="C31" i="100"/>
  <c r="M31" i="100" s="1"/>
  <c r="N30" i="100"/>
  <c r="N29" i="100"/>
  <c r="W28" i="100"/>
  <c r="W27" i="100"/>
  <c r="R26" i="100"/>
  <c r="R46" i="100" s="1"/>
  <c r="Q26" i="100"/>
  <c r="M26" i="100"/>
  <c r="B26" i="100"/>
  <c r="T20" i="100"/>
  <c r="R46" i="99"/>
  <c r="Q46" i="99"/>
  <c r="W45" i="99"/>
  <c r="U45" i="99"/>
  <c r="R44" i="99"/>
  <c r="Q44" i="99"/>
  <c r="B44" i="99"/>
  <c r="M38" i="99"/>
  <c r="N37" i="99"/>
  <c r="M31" i="99"/>
  <c r="N30" i="99"/>
  <c r="N29" i="99"/>
  <c r="W28" i="99"/>
  <c r="U28" i="99"/>
  <c r="W27" i="99"/>
  <c r="U27" i="99"/>
  <c r="R26" i="99"/>
  <c r="Q26" i="99"/>
  <c r="M26" i="99"/>
  <c r="B26" i="99"/>
  <c r="K20" i="99"/>
  <c r="K20" i="137" s="1"/>
  <c r="N20" i="137" s="1"/>
  <c r="K14" i="99"/>
  <c r="K14" i="100" s="1"/>
  <c r="N14" i="100" s="1"/>
  <c r="T38" i="99"/>
  <c r="K38" i="136"/>
  <c r="N38" i="136" s="1"/>
  <c r="K20" i="101"/>
  <c r="T31" i="99"/>
  <c r="K31" i="99"/>
  <c r="F19" i="101"/>
  <c r="F20" i="101" s="1"/>
  <c r="F21" i="101" s="1"/>
  <c r="K18" i="101"/>
  <c r="K17" i="101"/>
  <c r="I17" i="101"/>
  <c r="G17" i="101"/>
  <c r="E17" i="101"/>
  <c r="K14" i="101"/>
  <c r="C14" i="101"/>
  <c r="T14" i="99"/>
  <c r="L46" i="72"/>
  <c r="I45" i="72"/>
  <c r="H45" i="72"/>
  <c r="B45" i="72"/>
  <c r="L44" i="72"/>
  <c r="J44" i="72"/>
  <c r="I44" i="72"/>
  <c r="H44" i="72"/>
  <c r="G44" i="72"/>
  <c r="G45" i="72" s="1"/>
  <c r="G46" i="72" s="1"/>
  <c r="F44" i="72"/>
  <c r="K44" i="72" s="1"/>
  <c r="M44" i="72" s="1"/>
  <c r="L40" i="113" s="1"/>
  <c r="E44" i="72"/>
  <c r="C44" i="72"/>
  <c r="C40" i="113" s="1"/>
  <c r="E40" i="113" s="1"/>
  <c r="K43" i="72"/>
  <c r="M43" i="72" s="1"/>
  <c r="L39" i="113" s="1"/>
  <c r="J43" i="72"/>
  <c r="I43" i="72"/>
  <c r="H43" i="72"/>
  <c r="F43" i="72"/>
  <c r="E43" i="72"/>
  <c r="C43" i="72"/>
  <c r="C39" i="113" s="1"/>
  <c r="E39" i="113" s="1"/>
  <c r="J42" i="72"/>
  <c r="I42" i="72"/>
  <c r="H42" i="72"/>
  <c r="F42" i="72"/>
  <c r="K42" i="72" s="1"/>
  <c r="M42" i="72" s="1"/>
  <c r="L38" i="113" s="1"/>
  <c r="E42" i="72"/>
  <c r="C42" i="72"/>
  <c r="C38" i="113" s="1"/>
  <c r="E38" i="113" s="1"/>
  <c r="J41" i="72"/>
  <c r="J45" i="72" s="1"/>
  <c r="J46" i="72" s="1"/>
  <c r="I41" i="72"/>
  <c r="H41" i="72"/>
  <c r="F41" i="72"/>
  <c r="K41" i="72" s="1"/>
  <c r="M41" i="72" s="1"/>
  <c r="L37" i="113" s="1"/>
  <c r="E41" i="72"/>
  <c r="C41" i="72"/>
  <c r="C37" i="113" s="1"/>
  <c r="E37" i="113" s="1"/>
  <c r="K40" i="72"/>
  <c r="K45" i="72" s="1"/>
  <c r="H40" i="72"/>
  <c r="F40" i="72"/>
  <c r="F45" i="72" s="1"/>
  <c r="E40" i="72"/>
  <c r="E45" i="72" s="1"/>
  <c r="C40" i="72"/>
  <c r="C36" i="113" s="1"/>
  <c r="E36" i="113" s="1"/>
  <c r="L38" i="72"/>
  <c r="J38" i="72"/>
  <c r="G38" i="72"/>
  <c r="B38" i="72"/>
  <c r="J37" i="72"/>
  <c r="I37" i="72"/>
  <c r="H37" i="72"/>
  <c r="F37" i="72"/>
  <c r="K37" i="72" s="1"/>
  <c r="M37" i="72" s="1"/>
  <c r="L34" i="113" s="1"/>
  <c r="E37" i="72"/>
  <c r="C37" i="72"/>
  <c r="C34" i="113" s="1"/>
  <c r="E34" i="113" s="1"/>
  <c r="J36" i="72"/>
  <c r="I36" i="72"/>
  <c r="I38" i="72" s="1"/>
  <c r="H36" i="72"/>
  <c r="H38" i="72" s="1"/>
  <c r="F36" i="72"/>
  <c r="K36" i="72" s="1"/>
  <c r="E36" i="72"/>
  <c r="E38" i="72" s="1"/>
  <c r="C36" i="72"/>
  <c r="L22" i="72"/>
  <c r="G22" i="72"/>
  <c r="L21" i="72"/>
  <c r="G21" i="72"/>
  <c r="B21" i="72"/>
  <c r="J20" i="72"/>
  <c r="I20" i="72"/>
  <c r="I21" i="72" s="1"/>
  <c r="H20" i="72"/>
  <c r="F20" i="72"/>
  <c r="E20" i="72"/>
  <c r="K20" i="72" s="1"/>
  <c r="M20" i="72" s="1"/>
  <c r="D20" i="72"/>
  <c r="G21" i="113" s="1"/>
  <c r="I21" i="113" s="1"/>
  <c r="K21" i="113" s="1"/>
  <c r="C20" i="72"/>
  <c r="C21" i="113" s="1"/>
  <c r="E21" i="113" s="1"/>
  <c r="J19" i="72"/>
  <c r="I19" i="72"/>
  <c r="H19" i="72"/>
  <c r="F19" i="72"/>
  <c r="K19" i="72" s="1"/>
  <c r="M19" i="72" s="1"/>
  <c r="E19" i="72"/>
  <c r="D19" i="72"/>
  <c r="G20" i="113" s="1"/>
  <c r="I20" i="113" s="1"/>
  <c r="K20" i="113" s="1"/>
  <c r="C19" i="72"/>
  <c r="C20" i="113" s="1"/>
  <c r="E20" i="113" s="1"/>
  <c r="J18" i="72"/>
  <c r="I18" i="72"/>
  <c r="H18" i="72"/>
  <c r="F18" i="72"/>
  <c r="E18" i="72"/>
  <c r="K18" i="72" s="1"/>
  <c r="M18" i="72" s="1"/>
  <c r="L19" i="113" s="1"/>
  <c r="D18" i="72"/>
  <c r="G19" i="113" s="1"/>
  <c r="I19" i="113" s="1"/>
  <c r="K19" i="113" s="1"/>
  <c r="C18" i="72"/>
  <c r="C19" i="113" s="1"/>
  <c r="E19" i="113" s="1"/>
  <c r="J17" i="72"/>
  <c r="I17" i="72"/>
  <c r="H17" i="72"/>
  <c r="F17" i="72"/>
  <c r="E17" i="72"/>
  <c r="E21" i="72" s="1"/>
  <c r="D17" i="72"/>
  <c r="G18" i="113" s="1"/>
  <c r="I18" i="113" s="1"/>
  <c r="K18" i="113" s="1"/>
  <c r="C17" i="72"/>
  <c r="C18" i="113" s="1"/>
  <c r="E18" i="113" s="1"/>
  <c r="J16" i="72"/>
  <c r="J21" i="72" s="1"/>
  <c r="I16" i="72"/>
  <c r="H16" i="72"/>
  <c r="H21" i="72" s="1"/>
  <c r="H22" i="72" s="1"/>
  <c r="F16" i="72"/>
  <c r="E16" i="72"/>
  <c r="K16" i="72" s="1"/>
  <c r="D16" i="72"/>
  <c r="G17" i="113" s="1"/>
  <c r="I17" i="113" s="1"/>
  <c r="K17" i="113" s="1"/>
  <c r="C16" i="72"/>
  <c r="C17" i="113" s="1"/>
  <c r="E17" i="113" s="1"/>
  <c r="F15" i="72"/>
  <c r="F21" i="72" s="1"/>
  <c r="F22" i="72" s="1"/>
  <c r="E15" i="72"/>
  <c r="D15" i="72"/>
  <c r="D21" i="72" s="1"/>
  <c r="C15" i="72"/>
  <c r="C21" i="72" s="1"/>
  <c r="C22" i="72" s="1"/>
  <c r="L14" i="72"/>
  <c r="G14" i="72"/>
  <c r="C14" i="72"/>
  <c r="B14" i="72"/>
  <c r="J13" i="72"/>
  <c r="I13" i="72"/>
  <c r="H13" i="72"/>
  <c r="H14" i="72" s="1"/>
  <c r="F13" i="72"/>
  <c r="K13" i="72" s="1"/>
  <c r="M13" i="72" s="1"/>
  <c r="E13" i="72"/>
  <c r="D13" i="72"/>
  <c r="G15" i="113" s="1"/>
  <c r="I15" i="113" s="1"/>
  <c r="K15" i="113" s="1"/>
  <c r="C13" i="72"/>
  <c r="C15" i="113" s="1"/>
  <c r="E15" i="113" s="1"/>
  <c r="J12" i="72"/>
  <c r="J14" i="72" s="1"/>
  <c r="I12" i="72"/>
  <c r="I14" i="72" s="1"/>
  <c r="H12" i="72"/>
  <c r="F12" i="72"/>
  <c r="F14" i="72" s="1"/>
  <c r="E12" i="72"/>
  <c r="E14" i="72" s="1"/>
  <c r="D12" i="72"/>
  <c r="G14" i="113" s="1"/>
  <c r="C12" i="72"/>
  <c r="C14" i="113" s="1"/>
  <c r="F667" i="129"/>
  <c r="E667" i="129"/>
  <c r="D667" i="129"/>
  <c r="C667" i="129"/>
  <c r="B667" i="129"/>
  <c r="F666" i="129"/>
  <c r="E666" i="129"/>
  <c r="D666" i="129"/>
  <c r="C666" i="129"/>
  <c r="B666" i="129"/>
  <c r="A666" i="129"/>
  <c r="F665" i="129"/>
  <c r="E665" i="129"/>
  <c r="D665" i="129"/>
  <c r="C665" i="129"/>
  <c r="B665" i="129"/>
  <c r="A665" i="129"/>
  <c r="F664" i="129"/>
  <c r="E664" i="129"/>
  <c r="D664" i="129"/>
  <c r="C664" i="129"/>
  <c r="B664" i="129"/>
  <c r="A664" i="129"/>
  <c r="F663" i="129"/>
  <c r="E663" i="129"/>
  <c r="D663" i="129"/>
  <c r="C663" i="129"/>
  <c r="B663" i="129"/>
  <c r="A663" i="129"/>
  <c r="F662" i="129"/>
  <c r="E662" i="129"/>
  <c r="D662" i="129"/>
  <c r="C662" i="129"/>
  <c r="B662" i="129"/>
  <c r="A662" i="129"/>
  <c r="F661" i="129"/>
  <c r="E661" i="129"/>
  <c r="D661" i="129"/>
  <c r="C661" i="129"/>
  <c r="B661" i="129"/>
  <c r="F660" i="129"/>
  <c r="E660" i="129"/>
  <c r="D660" i="129"/>
  <c r="C660" i="129"/>
  <c r="B660" i="129"/>
  <c r="A660" i="129"/>
  <c r="F659" i="129"/>
  <c r="E659" i="129"/>
  <c r="D659" i="129"/>
  <c r="C659" i="129"/>
  <c r="B659" i="129"/>
  <c r="A659" i="129"/>
  <c r="G658" i="129"/>
  <c r="F656" i="129"/>
  <c r="E656" i="129"/>
  <c r="D656" i="129"/>
  <c r="C656" i="129"/>
  <c r="B656" i="129"/>
  <c r="F655" i="129"/>
  <c r="E655" i="129"/>
  <c r="D655" i="129"/>
  <c r="C655" i="129"/>
  <c r="B655" i="129"/>
  <c r="A655" i="129"/>
  <c r="F654" i="129"/>
  <c r="E654" i="129"/>
  <c r="D654" i="129"/>
  <c r="C654" i="129"/>
  <c r="B654" i="129"/>
  <c r="A654" i="129"/>
  <c r="F653" i="129"/>
  <c r="E653" i="129"/>
  <c r="D653" i="129"/>
  <c r="C653" i="129"/>
  <c r="B653" i="129"/>
  <c r="A653" i="129"/>
  <c r="F652" i="129"/>
  <c r="E652" i="129"/>
  <c r="D652" i="129"/>
  <c r="C652" i="129"/>
  <c r="B652" i="129"/>
  <c r="A652" i="129"/>
  <c r="F651" i="129"/>
  <c r="E651" i="129"/>
  <c r="D651" i="129"/>
  <c r="C651" i="129"/>
  <c r="B651" i="129"/>
  <c r="A651" i="129"/>
  <c r="F650" i="129"/>
  <c r="E650" i="129"/>
  <c r="D650" i="129"/>
  <c r="C650" i="129"/>
  <c r="B650" i="129"/>
  <c r="F649" i="129"/>
  <c r="E649" i="129"/>
  <c r="D649" i="129"/>
  <c r="C649" i="129"/>
  <c r="B649" i="129"/>
  <c r="A649" i="129"/>
  <c r="F648" i="129"/>
  <c r="E648" i="129"/>
  <c r="D648" i="129"/>
  <c r="C648" i="129"/>
  <c r="B648" i="129"/>
  <c r="A648" i="129"/>
  <c r="G647" i="129"/>
  <c r="F645" i="129"/>
  <c r="E645" i="129"/>
  <c r="D645" i="129"/>
  <c r="C645" i="129"/>
  <c r="B645" i="129"/>
  <c r="F644" i="129"/>
  <c r="E644" i="129"/>
  <c r="D644" i="129"/>
  <c r="C644" i="129"/>
  <c r="B644" i="129"/>
  <c r="A644" i="129"/>
  <c r="F643" i="129"/>
  <c r="E643" i="129"/>
  <c r="D643" i="129"/>
  <c r="C643" i="129"/>
  <c r="B643" i="129"/>
  <c r="A643" i="129"/>
  <c r="F642" i="129"/>
  <c r="E642" i="129"/>
  <c r="D642" i="129"/>
  <c r="C642" i="129"/>
  <c r="B642" i="129"/>
  <c r="A642" i="129"/>
  <c r="F641" i="129"/>
  <c r="E641" i="129"/>
  <c r="D641" i="129"/>
  <c r="C641" i="129"/>
  <c r="B641" i="129"/>
  <c r="A641" i="129"/>
  <c r="F640" i="129"/>
  <c r="E640" i="129"/>
  <c r="D640" i="129"/>
  <c r="C640" i="129"/>
  <c r="B640" i="129"/>
  <c r="A640" i="129"/>
  <c r="F639" i="129"/>
  <c r="E639" i="129"/>
  <c r="D639" i="129"/>
  <c r="C639" i="129"/>
  <c r="B639" i="129"/>
  <c r="F638" i="129"/>
  <c r="E638" i="129"/>
  <c r="D638" i="129"/>
  <c r="C638" i="129"/>
  <c r="B638" i="129"/>
  <c r="A638" i="129"/>
  <c r="F637" i="129"/>
  <c r="E637" i="129"/>
  <c r="D637" i="129"/>
  <c r="C637" i="129"/>
  <c r="B637" i="129"/>
  <c r="A637" i="129"/>
  <c r="G636" i="129"/>
  <c r="F634" i="129"/>
  <c r="E634" i="129"/>
  <c r="D634" i="129"/>
  <c r="C634" i="129"/>
  <c r="B634" i="129"/>
  <c r="F633" i="129"/>
  <c r="E633" i="129"/>
  <c r="D633" i="129"/>
  <c r="C633" i="129"/>
  <c r="B633" i="129"/>
  <c r="A633" i="129"/>
  <c r="F632" i="129"/>
  <c r="E632" i="129"/>
  <c r="D632" i="129"/>
  <c r="C632" i="129"/>
  <c r="B632" i="129"/>
  <c r="A632" i="129"/>
  <c r="F631" i="129"/>
  <c r="E631" i="129"/>
  <c r="D631" i="129"/>
  <c r="C631" i="129"/>
  <c r="B631" i="129"/>
  <c r="A631" i="129"/>
  <c r="F630" i="129"/>
  <c r="E630" i="129"/>
  <c r="D630" i="129"/>
  <c r="C630" i="129"/>
  <c r="B630" i="129"/>
  <c r="A630" i="129"/>
  <c r="F629" i="129"/>
  <c r="E629" i="129"/>
  <c r="D629" i="129"/>
  <c r="C629" i="129"/>
  <c r="B629" i="129"/>
  <c r="A629" i="129"/>
  <c r="F628" i="129"/>
  <c r="E628" i="129"/>
  <c r="D628" i="129"/>
  <c r="C628" i="129"/>
  <c r="B628" i="129"/>
  <c r="F627" i="129"/>
  <c r="E627" i="129"/>
  <c r="D627" i="129"/>
  <c r="C627" i="129"/>
  <c r="B627" i="129"/>
  <c r="A627" i="129"/>
  <c r="F626" i="129"/>
  <c r="E626" i="129"/>
  <c r="D626" i="129"/>
  <c r="C626" i="129"/>
  <c r="B626" i="129"/>
  <c r="A626" i="129"/>
  <c r="G625" i="129"/>
  <c r="F623" i="129"/>
  <c r="E623" i="129"/>
  <c r="D623" i="129"/>
  <c r="C623" i="129"/>
  <c r="B623" i="129"/>
  <c r="F622" i="129"/>
  <c r="E622" i="129"/>
  <c r="D622" i="129"/>
  <c r="C622" i="129"/>
  <c r="B622" i="129"/>
  <c r="A622" i="129"/>
  <c r="F621" i="129"/>
  <c r="E621" i="129"/>
  <c r="D621" i="129"/>
  <c r="C621" i="129"/>
  <c r="B621" i="129"/>
  <c r="A621" i="129"/>
  <c r="F620" i="129"/>
  <c r="E620" i="129"/>
  <c r="D620" i="129"/>
  <c r="C620" i="129"/>
  <c r="B620" i="129"/>
  <c r="A620" i="129"/>
  <c r="F619" i="129"/>
  <c r="E619" i="129"/>
  <c r="D619" i="129"/>
  <c r="C619" i="129"/>
  <c r="B619" i="129"/>
  <c r="A619" i="129"/>
  <c r="F618" i="129"/>
  <c r="E618" i="129"/>
  <c r="D618" i="129"/>
  <c r="C618" i="129"/>
  <c r="B618" i="129"/>
  <c r="A618" i="129"/>
  <c r="F617" i="129"/>
  <c r="E617" i="129"/>
  <c r="D617" i="129"/>
  <c r="C617" i="129"/>
  <c r="B617" i="129"/>
  <c r="F616" i="129"/>
  <c r="E616" i="129"/>
  <c r="D616" i="129"/>
  <c r="C616" i="129"/>
  <c r="B616" i="129"/>
  <c r="A616" i="129"/>
  <c r="F615" i="129"/>
  <c r="E615" i="129"/>
  <c r="D615" i="129"/>
  <c r="C615" i="129"/>
  <c r="B615" i="129"/>
  <c r="A615" i="129"/>
  <c r="G614" i="129"/>
  <c r="F612" i="129"/>
  <c r="E612" i="129"/>
  <c r="D612" i="129"/>
  <c r="C612" i="129"/>
  <c r="B612" i="129"/>
  <c r="F611" i="129"/>
  <c r="E611" i="129"/>
  <c r="D611" i="129"/>
  <c r="C611" i="129"/>
  <c r="B611" i="129"/>
  <c r="A611" i="129"/>
  <c r="F610" i="129"/>
  <c r="E610" i="129"/>
  <c r="D610" i="129"/>
  <c r="C610" i="129"/>
  <c r="B610" i="129"/>
  <c r="A610" i="129"/>
  <c r="F609" i="129"/>
  <c r="E609" i="129"/>
  <c r="D609" i="129"/>
  <c r="C609" i="129"/>
  <c r="B609" i="129"/>
  <c r="A609" i="129"/>
  <c r="F608" i="129"/>
  <c r="E608" i="129"/>
  <c r="D608" i="129"/>
  <c r="C608" i="129"/>
  <c r="B608" i="129"/>
  <c r="A608" i="129"/>
  <c r="F607" i="129"/>
  <c r="E607" i="129"/>
  <c r="D607" i="129"/>
  <c r="C607" i="129"/>
  <c r="B607" i="129"/>
  <c r="A607" i="129"/>
  <c r="F606" i="129"/>
  <c r="E606" i="129"/>
  <c r="D606" i="129"/>
  <c r="C606" i="129"/>
  <c r="B606" i="129"/>
  <c r="F605" i="129"/>
  <c r="E605" i="129"/>
  <c r="D605" i="129"/>
  <c r="C605" i="129"/>
  <c r="B605" i="129"/>
  <c r="A605" i="129"/>
  <c r="F604" i="129"/>
  <c r="E604" i="129"/>
  <c r="D604" i="129"/>
  <c r="C604" i="129"/>
  <c r="B604" i="129"/>
  <c r="A604" i="129"/>
  <c r="G603" i="129"/>
  <c r="G601" i="129"/>
  <c r="F601" i="129"/>
  <c r="E601" i="129"/>
  <c r="D601" i="129"/>
  <c r="C601" i="129"/>
  <c r="B601" i="129"/>
  <c r="A600" i="129"/>
  <c r="A599" i="129"/>
  <c r="A598" i="129"/>
  <c r="A597" i="129"/>
  <c r="A596" i="129"/>
  <c r="A594" i="129"/>
  <c r="A593" i="129"/>
  <c r="G592" i="129"/>
  <c r="G590" i="129"/>
  <c r="F590" i="129"/>
  <c r="E590" i="129"/>
  <c r="D590" i="129"/>
  <c r="C590" i="129"/>
  <c r="B590" i="129"/>
  <c r="A589" i="129"/>
  <c r="A588" i="129"/>
  <c r="A587" i="129"/>
  <c r="A586" i="129"/>
  <c r="A585" i="129"/>
  <c r="A583" i="129"/>
  <c r="A582" i="129"/>
  <c r="G581" i="129"/>
  <c r="G579" i="129"/>
  <c r="F579" i="129"/>
  <c r="E579" i="129"/>
  <c r="D579" i="129"/>
  <c r="C579" i="129"/>
  <c r="B579" i="129"/>
  <c r="A578" i="129"/>
  <c r="A577" i="129"/>
  <c r="A576" i="129"/>
  <c r="A575" i="129"/>
  <c r="A574" i="129"/>
  <c r="A572" i="129"/>
  <c r="A571" i="129"/>
  <c r="G568" i="129"/>
  <c r="F568" i="129"/>
  <c r="E568" i="129"/>
  <c r="D568" i="129"/>
  <c r="C568" i="129"/>
  <c r="B568" i="129"/>
  <c r="A567" i="129"/>
  <c r="A566" i="129"/>
  <c r="A565" i="129"/>
  <c r="A564" i="129"/>
  <c r="A563" i="129"/>
  <c r="A561" i="129"/>
  <c r="A560" i="129"/>
  <c r="G557" i="129"/>
  <c r="F557" i="129"/>
  <c r="E557" i="129"/>
  <c r="D557" i="129"/>
  <c r="C557" i="129"/>
  <c r="B557" i="129"/>
  <c r="A556" i="129"/>
  <c r="A555" i="129"/>
  <c r="A554" i="129"/>
  <c r="A553" i="129"/>
  <c r="A552" i="129"/>
  <c r="A550" i="129"/>
  <c r="A549" i="129"/>
  <c r="G546" i="129"/>
  <c r="F546" i="129"/>
  <c r="E546" i="129"/>
  <c r="D546" i="129"/>
  <c r="C546" i="129"/>
  <c r="B546" i="129"/>
  <c r="A545" i="129"/>
  <c r="A544" i="129"/>
  <c r="A543" i="129"/>
  <c r="A542" i="129"/>
  <c r="A541" i="129"/>
  <c r="A539" i="129"/>
  <c r="A538" i="129"/>
  <c r="G532" i="129"/>
  <c r="F532" i="129"/>
  <c r="E532" i="129"/>
  <c r="D532" i="129"/>
  <c r="C532" i="129"/>
  <c r="B532" i="129"/>
  <c r="A531" i="129"/>
  <c r="A530" i="129"/>
  <c r="A529" i="129"/>
  <c r="A528" i="129"/>
  <c r="A527" i="129"/>
  <c r="A525" i="129"/>
  <c r="A524" i="129"/>
  <c r="G523" i="129"/>
  <c r="G521" i="129"/>
  <c r="F521" i="129"/>
  <c r="E521" i="129"/>
  <c r="D521" i="129"/>
  <c r="C521" i="129"/>
  <c r="B521" i="129"/>
  <c r="A520" i="129"/>
  <c r="A519" i="129"/>
  <c r="A518" i="129"/>
  <c r="A517" i="129"/>
  <c r="A516" i="129"/>
  <c r="A514" i="129"/>
  <c r="A513" i="129"/>
  <c r="G512" i="129"/>
  <c r="G510" i="129"/>
  <c r="F510" i="129"/>
  <c r="E510" i="129"/>
  <c r="D510" i="129"/>
  <c r="C510" i="129"/>
  <c r="B510" i="129"/>
  <c r="A509" i="129"/>
  <c r="A508" i="129"/>
  <c r="A507" i="129"/>
  <c r="A506" i="129"/>
  <c r="A505" i="129"/>
  <c r="A503" i="129"/>
  <c r="A502" i="129"/>
  <c r="G501" i="129"/>
  <c r="G499" i="129"/>
  <c r="F499" i="129"/>
  <c r="E499" i="129"/>
  <c r="D499" i="129"/>
  <c r="C499" i="129"/>
  <c r="B499" i="129"/>
  <c r="A498" i="129"/>
  <c r="A497" i="129"/>
  <c r="A496" i="129"/>
  <c r="A495" i="129"/>
  <c r="A494" i="129"/>
  <c r="A492" i="129"/>
  <c r="A491" i="129"/>
  <c r="G490" i="129"/>
  <c r="G488" i="129"/>
  <c r="F488" i="129"/>
  <c r="E488" i="129"/>
  <c r="D488" i="129"/>
  <c r="C488" i="129"/>
  <c r="B488" i="129"/>
  <c r="A487" i="129"/>
  <c r="A486" i="129"/>
  <c r="A485" i="129"/>
  <c r="A484" i="129"/>
  <c r="A483" i="129"/>
  <c r="A481" i="129"/>
  <c r="A480" i="129"/>
  <c r="G479" i="129"/>
  <c r="G477" i="129"/>
  <c r="F477" i="129"/>
  <c r="E477" i="129"/>
  <c r="D477" i="129"/>
  <c r="C477" i="129"/>
  <c r="B477" i="129"/>
  <c r="A476" i="129"/>
  <c r="A475" i="129"/>
  <c r="A474" i="129"/>
  <c r="A473" i="129"/>
  <c r="A472" i="129"/>
  <c r="A470" i="129"/>
  <c r="A469" i="129"/>
  <c r="G468" i="129"/>
  <c r="G466" i="129"/>
  <c r="F466" i="129"/>
  <c r="E466" i="129"/>
  <c r="D466" i="129"/>
  <c r="C466" i="129"/>
  <c r="B466" i="129"/>
  <c r="A465" i="129"/>
  <c r="A464" i="129"/>
  <c r="A463" i="129"/>
  <c r="A462" i="129"/>
  <c r="A461" i="129"/>
  <c r="A459" i="129"/>
  <c r="A458" i="129"/>
  <c r="G457" i="129"/>
  <c r="G455" i="129"/>
  <c r="F455" i="129"/>
  <c r="E455" i="129"/>
  <c r="D455" i="129"/>
  <c r="C455" i="129"/>
  <c r="B455" i="129"/>
  <c r="A454" i="129"/>
  <c r="A453" i="129"/>
  <c r="A452" i="129"/>
  <c r="A451" i="129"/>
  <c r="A450" i="129"/>
  <c r="A448" i="129"/>
  <c r="A447" i="129"/>
  <c r="G446" i="129"/>
  <c r="G444" i="129"/>
  <c r="F444" i="129"/>
  <c r="E444" i="129"/>
  <c r="D444" i="129"/>
  <c r="C444" i="129"/>
  <c r="B444" i="129"/>
  <c r="A443" i="129"/>
  <c r="A442" i="129"/>
  <c r="A441" i="129"/>
  <c r="A440" i="129"/>
  <c r="A439" i="129"/>
  <c r="A437" i="129"/>
  <c r="A436" i="129"/>
  <c r="G433" i="129"/>
  <c r="F433" i="129"/>
  <c r="E433" i="129"/>
  <c r="D433" i="129"/>
  <c r="C433" i="129"/>
  <c r="B433" i="129"/>
  <c r="A432" i="129"/>
  <c r="A431" i="129"/>
  <c r="A430" i="129"/>
  <c r="A429" i="129"/>
  <c r="A428" i="129"/>
  <c r="A426" i="129"/>
  <c r="A425" i="129"/>
  <c r="G422" i="129"/>
  <c r="F422" i="129"/>
  <c r="E422" i="129"/>
  <c r="D422" i="129"/>
  <c r="C422" i="129"/>
  <c r="B422" i="129"/>
  <c r="A421" i="129"/>
  <c r="A420" i="129"/>
  <c r="A419" i="129"/>
  <c r="A418" i="129"/>
  <c r="A417" i="129"/>
  <c r="A415" i="129"/>
  <c r="A414" i="129"/>
  <c r="G411" i="129"/>
  <c r="F411" i="129"/>
  <c r="E411" i="129"/>
  <c r="D411" i="129"/>
  <c r="C411" i="129"/>
  <c r="B411" i="129"/>
  <c r="A410" i="129"/>
  <c r="A409" i="129"/>
  <c r="A408" i="129"/>
  <c r="A407" i="129"/>
  <c r="A406" i="129"/>
  <c r="A404" i="129"/>
  <c r="A403" i="129"/>
  <c r="G397" i="129"/>
  <c r="F397" i="129"/>
  <c r="E397" i="129"/>
  <c r="D397" i="129"/>
  <c r="C397" i="129"/>
  <c r="B397" i="129"/>
  <c r="G396" i="129"/>
  <c r="F396" i="129"/>
  <c r="E396" i="129"/>
  <c r="D396" i="129"/>
  <c r="C396" i="129"/>
  <c r="B396" i="129"/>
  <c r="A396" i="129"/>
  <c r="G395" i="129"/>
  <c r="F395" i="129"/>
  <c r="E395" i="129"/>
  <c r="D395" i="129"/>
  <c r="C395" i="129"/>
  <c r="B395" i="129"/>
  <c r="A395" i="129"/>
  <c r="G394" i="129"/>
  <c r="F394" i="129"/>
  <c r="E394" i="129"/>
  <c r="D394" i="129"/>
  <c r="C394" i="129"/>
  <c r="B394" i="129"/>
  <c r="A394" i="129"/>
  <c r="G393" i="129"/>
  <c r="F393" i="129"/>
  <c r="E393" i="129"/>
  <c r="D393" i="129"/>
  <c r="C393" i="129"/>
  <c r="B393" i="129"/>
  <c r="A393" i="129"/>
  <c r="G392" i="129"/>
  <c r="F392" i="129"/>
  <c r="E392" i="129"/>
  <c r="D392" i="129"/>
  <c r="C392" i="129"/>
  <c r="B392" i="129"/>
  <c r="A392" i="129"/>
  <c r="G391" i="129"/>
  <c r="F391" i="129"/>
  <c r="E391" i="129"/>
  <c r="D391" i="129"/>
  <c r="C391" i="129"/>
  <c r="B391" i="129"/>
  <c r="G390" i="129"/>
  <c r="F390" i="129"/>
  <c r="E390" i="129"/>
  <c r="D390" i="129"/>
  <c r="C390" i="129"/>
  <c r="B390" i="129"/>
  <c r="A390" i="129"/>
  <c r="G389" i="129"/>
  <c r="F389" i="129"/>
  <c r="E389" i="129"/>
  <c r="D389" i="129"/>
  <c r="C389" i="129"/>
  <c r="B389" i="129"/>
  <c r="A389" i="129"/>
  <c r="G388" i="129"/>
  <c r="G385" i="129"/>
  <c r="F385" i="129"/>
  <c r="E385" i="129"/>
  <c r="D385" i="129"/>
  <c r="C385" i="129"/>
  <c r="B385" i="129"/>
  <c r="L384" i="129"/>
  <c r="K384" i="129"/>
  <c r="J384" i="129"/>
  <c r="I384" i="129"/>
  <c r="G384" i="129"/>
  <c r="F384" i="129"/>
  <c r="E384" i="129"/>
  <c r="D384" i="129"/>
  <c r="C384" i="129"/>
  <c r="B384" i="129"/>
  <c r="G383" i="129"/>
  <c r="F383" i="129"/>
  <c r="E383" i="129"/>
  <c r="D383" i="129"/>
  <c r="C383" i="129"/>
  <c r="B383" i="129"/>
  <c r="L382" i="129"/>
  <c r="K382" i="129"/>
  <c r="J382" i="129"/>
  <c r="I382" i="129"/>
  <c r="G382" i="129"/>
  <c r="F382" i="129"/>
  <c r="E382" i="129"/>
  <c r="D382" i="129"/>
  <c r="C382" i="129"/>
  <c r="B382" i="129"/>
  <c r="G381" i="129"/>
  <c r="F381" i="129"/>
  <c r="E381" i="129"/>
  <c r="D381" i="129"/>
  <c r="C381" i="129"/>
  <c r="B381" i="129"/>
  <c r="G380" i="129"/>
  <c r="F380" i="129"/>
  <c r="E380" i="129"/>
  <c r="D380" i="129"/>
  <c r="C380" i="129"/>
  <c r="B380" i="129"/>
  <c r="G378" i="129"/>
  <c r="F378" i="129"/>
  <c r="E378" i="129"/>
  <c r="D378" i="129"/>
  <c r="C378" i="129"/>
  <c r="B378" i="129"/>
  <c r="L377" i="129"/>
  <c r="K377" i="129"/>
  <c r="J377" i="129"/>
  <c r="I377" i="129"/>
  <c r="G377" i="129"/>
  <c r="F377" i="129"/>
  <c r="E377" i="129"/>
  <c r="D377" i="129"/>
  <c r="C377" i="129"/>
  <c r="B377" i="129"/>
  <c r="Q375" i="129"/>
  <c r="Q373" i="129"/>
  <c r="Q372" i="129"/>
  <c r="P372" i="129"/>
  <c r="O372" i="129"/>
  <c r="N372" i="129"/>
  <c r="M372" i="129"/>
  <c r="L372" i="129"/>
  <c r="K372" i="129"/>
  <c r="J372" i="129"/>
  <c r="I372" i="129"/>
  <c r="H372" i="129"/>
  <c r="C372" i="129"/>
  <c r="S371" i="129"/>
  <c r="R371" i="129"/>
  <c r="Q371" i="129"/>
  <c r="P371" i="129"/>
  <c r="O371" i="129"/>
  <c r="N371" i="129"/>
  <c r="M371" i="129"/>
  <c r="L371" i="129"/>
  <c r="K371" i="129"/>
  <c r="J371" i="129"/>
  <c r="I371" i="129"/>
  <c r="H371" i="129"/>
  <c r="G371" i="129"/>
  <c r="F371" i="129"/>
  <c r="E371" i="129"/>
  <c r="D371" i="129"/>
  <c r="C371" i="129"/>
  <c r="B371" i="129"/>
  <c r="S370" i="129"/>
  <c r="R370" i="129"/>
  <c r="Q370" i="129"/>
  <c r="P370" i="129"/>
  <c r="O370" i="129"/>
  <c r="N370" i="129"/>
  <c r="M370" i="129"/>
  <c r="L370" i="129"/>
  <c r="K370" i="129"/>
  <c r="J370" i="129"/>
  <c r="I370" i="129"/>
  <c r="H370" i="129"/>
  <c r="G370" i="129"/>
  <c r="F370" i="129"/>
  <c r="E370" i="129"/>
  <c r="D370" i="129"/>
  <c r="C370" i="129"/>
  <c r="B370" i="129"/>
  <c r="S369" i="129"/>
  <c r="R369" i="129"/>
  <c r="Q369" i="129"/>
  <c r="P369" i="129"/>
  <c r="O369" i="129"/>
  <c r="N369" i="129"/>
  <c r="M369" i="129"/>
  <c r="L369" i="129"/>
  <c r="K369" i="129"/>
  <c r="J369" i="129"/>
  <c r="I369" i="129"/>
  <c r="H369" i="129"/>
  <c r="G369" i="129"/>
  <c r="F369" i="129"/>
  <c r="E369" i="129"/>
  <c r="D369" i="129"/>
  <c r="C369" i="129"/>
  <c r="B369" i="129"/>
  <c r="S368" i="129"/>
  <c r="R368" i="129"/>
  <c r="S367" i="129"/>
  <c r="R367" i="129"/>
  <c r="Q367" i="129"/>
  <c r="P367" i="129"/>
  <c r="O367" i="129"/>
  <c r="N367" i="129"/>
  <c r="M367" i="129"/>
  <c r="L367" i="129"/>
  <c r="K367" i="129"/>
  <c r="J367" i="129"/>
  <c r="I367" i="129"/>
  <c r="H367" i="129"/>
  <c r="G367" i="129"/>
  <c r="F367" i="129"/>
  <c r="E367" i="129"/>
  <c r="D367" i="129"/>
  <c r="C367" i="129"/>
  <c r="B367" i="129"/>
  <c r="S366" i="129"/>
  <c r="R366" i="129"/>
  <c r="Q366" i="129"/>
  <c r="P366" i="129"/>
  <c r="O366" i="129"/>
  <c r="N366" i="129"/>
  <c r="M366" i="129"/>
  <c r="L366" i="129"/>
  <c r="K366" i="129"/>
  <c r="J366" i="129"/>
  <c r="I366" i="129"/>
  <c r="H366" i="129"/>
  <c r="G366" i="129"/>
  <c r="F366" i="129"/>
  <c r="E366" i="129"/>
  <c r="D366" i="129"/>
  <c r="C366" i="129"/>
  <c r="B366" i="129"/>
  <c r="S365" i="129"/>
  <c r="R365" i="129"/>
  <c r="S364" i="129"/>
  <c r="R364" i="129"/>
  <c r="S363" i="129"/>
  <c r="R363" i="129"/>
  <c r="Q363" i="129"/>
  <c r="P363" i="129"/>
  <c r="O363" i="129"/>
  <c r="N363" i="129"/>
  <c r="M363" i="129"/>
  <c r="L363" i="129"/>
  <c r="K363" i="129"/>
  <c r="J363" i="129"/>
  <c r="I363" i="129"/>
  <c r="H363" i="129"/>
  <c r="G363" i="129"/>
  <c r="F363" i="129"/>
  <c r="E363" i="129"/>
  <c r="D363" i="129"/>
  <c r="C363" i="129"/>
  <c r="B363" i="129"/>
  <c r="S362" i="129"/>
  <c r="R362" i="129"/>
  <c r="Q362" i="129"/>
  <c r="P362" i="129"/>
  <c r="O362" i="129"/>
  <c r="N362" i="129"/>
  <c r="M362" i="129"/>
  <c r="L362" i="129"/>
  <c r="K362" i="129"/>
  <c r="J362" i="129"/>
  <c r="I362" i="129"/>
  <c r="H362" i="129"/>
  <c r="G362" i="129"/>
  <c r="F362" i="129"/>
  <c r="E362" i="129"/>
  <c r="D362" i="129"/>
  <c r="C362" i="129"/>
  <c r="B362" i="129"/>
  <c r="P356" i="129"/>
  <c r="C355" i="129"/>
  <c r="C345" i="129"/>
  <c r="Q344" i="129"/>
  <c r="P344" i="129"/>
  <c r="O344" i="129"/>
  <c r="N344" i="129"/>
  <c r="M344" i="129"/>
  <c r="K344" i="129"/>
  <c r="I344" i="129"/>
  <c r="H344" i="129"/>
  <c r="G344" i="129"/>
  <c r="F344" i="129"/>
  <c r="E344" i="129"/>
  <c r="C336" i="129"/>
  <c r="C326" i="129"/>
  <c r="Q325" i="129"/>
  <c r="P325" i="129"/>
  <c r="O325" i="129"/>
  <c r="N325" i="129"/>
  <c r="M325" i="129"/>
  <c r="L325" i="129"/>
  <c r="K325" i="129"/>
  <c r="J325" i="129"/>
  <c r="I325" i="129"/>
  <c r="H325" i="129"/>
  <c r="G325" i="129"/>
  <c r="F325" i="129"/>
  <c r="E325" i="129"/>
  <c r="D325" i="129"/>
  <c r="C325" i="129"/>
  <c r="B325" i="129"/>
  <c r="C316" i="129"/>
  <c r="Q315" i="129"/>
  <c r="P315" i="129"/>
  <c r="O315" i="129"/>
  <c r="N315" i="129"/>
  <c r="M315" i="129"/>
  <c r="L315" i="129"/>
  <c r="K315" i="129"/>
  <c r="J315" i="129"/>
  <c r="I315" i="129"/>
  <c r="H315" i="129"/>
  <c r="G315" i="129"/>
  <c r="F315" i="129"/>
  <c r="E315" i="129"/>
  <c r="D315" i="129"/>
  <c r="C315" i="129"/>
  <c r="B315" i="129"/>
  <c r="C306" i="129"/>
  <c r="Q305" i="129"/>
  <c r="P305" i="129"/>
  <c r="O305" i="129"/>
  <c r="N305" i="129"/>
  <c r="M305" i="129"/>
  <c r="L305" i="129"/>
  <c r="K305" i="129"/>
  <c r="J305" i="129"/>
  <c r="I305" i="129"/>
  <c r="H305" i="129"/>
  <c r="G305" i="129"/>
  <c r="F305" i="129"/>
  <c r="E305" i="129"/>
  <c r="D305" i="129"/>
  <c r="C305" i="129"/>
  <c r="B305" i="129"/>
  <c r="Q295" i="129"/>
  <c r="P295" i="129"/>
  <c r="O295" i="129"/>
  <c r="N295" i="129"/>
  <c r="M295" i="129"/>
  <c r="L295" i="129"/>
  <c r="K295" i="129"/>
  <c r="J295" i="129"/>
  <c r="I295" i="129"/>
  <c r="H295" i="129"/>
  <c r="G295" i="129"/>
  <c r="F295" i="129"/>
  <c r="E295" i="129"/>
  <c r="D295" i="129"/>
  <c r="C295" i="129"/>
  <c r="B295" i="129"/>
  <c r="Q285" i="129"/>
  <c r="P285" i="129"/>
  <c r="O285" i="129"/>
  <c r="N285" i="129"/>
  <c r="M285" i="129"/>
  <c r="L285" i="129"/>
  <c r="K285" i="129"/>
  <c r="J285" i="129"/>
  <c r="I285" i="129"/>
  <c r="H285" i="129"/>
  <c r="G285" i="129"/>
  <c r="F285" i="129"/>
  <c r="E285" i="129"/>
  <c r="D285" i="129"/>
  <c r="C285" i="129"/>
  <c r="B285" i="129"/>
  <c r="Q275" i="129"/>
  <c r="P275" i="129"/>
  <c r="O275" i="129"/>
  <c r="N275" i="129"/>
  <c r="M275" i="129"/>
  <c r="L275" i="129"/>
  <c r="K275" i="129"/>
  <c r="J275" i="129"/>
  <c r="I275" i="129"/>
  <c r="H275" i="129"/>
  <c r="G275" i="129"/>
  <c r="F275" i="129"/>
  <c r="E275" i="129"/>
  <c r="D275" i="129"/>
  <c r="C275" i="129"/>
  <c r="B275" i="129"/>
  <c r="Q265" i="129"/>
  <c r="P265" i="129"/>
  <c r="O265" i="129"/>
  <c r="N265" i="129"/>
  <c r="M265" i="129"/>
  <c r="L265" i="129"/>
  <c r="K265" i="129"/>
  <c r="J265" i="129"/>
  <c r="I265" i="129"/>
  <c r="H265" i="129"/>
  <c r="G265" i="129"/>
  <c r="F265" i="129"/>
  <c r="E265" i="129"/>
  <c r="D265" i="129"/>
  <c r="C265" i="129"/>
  <c r="B265" i="129"/>
  <c r="Q256" i="129"/>
  <c r="Q255" i="129"/>
  <c r="P255" i="129"/>
  <c r="O255" i="129"/>
  <c r="N255" i="129"/>
  <c r="M255" i="129"/>
  <c r="L255" i="129"/>
  <c r="K255" i="129"/>
  <c r="J255" i="129"/>
  <c r="I255" i="129"/>
  <c r="H255" i="129"/>
  <c r="G255" i="129"/>
  <c r="F255" i="129"/>
  <c r="E255" i="129"/>
  <c r="D255" i="129"/>
  <c r="C255" i="129"/>
  <c r="B255" i="129"/>
  <c r="Q246" i="129"/>
  <c r="C246" i="129"/>
  <c r="Q245" i="129"/>
  <c r="P245" i="129"/>
  <c r="O245" i="129"/>
  <c r="N245" i="129"/>
  <c r="M245" i="129"/>
  <c r="L245" i="129"/>
  <c r="K245" i="129"/>
  <c r="J245" i="129"/>
  <c r="I245" i="129"/>
  <c r="H245" i="129"/>
  <c r="G245" i="129"/>
  <c r="F245" i="129"/>
  <c r="E245" i="129"/>
  <c r="D245" i="129"/>
  <c r="C245" i="129"/>
  <c r="B245" i="129"/>
  <c r="C239" i="129"/>
  <c r="U232" i="129"/>
  <c r="T232" i="129"/>
  <c r="R232" i="129"/>
  <c r="Q232" i="129"/>
  <c r="P232" i="129"/>
  <c r="O232" i="129"/>
  <c r="N232" i="129"/>
  <c r="M232" i="129"/>
  <c r="L232" i="129"/>
  <c r="K232" i="129"/>
  <c r="J232" i="129"/>
  <c r="I232" i="129"/>
  <c r="H232" i="129"/>
  <c r="G232" i="129"/>
  <c r="F232" i="129"/>
  <c r="E232" i="129"/>
  <c r="D232" i="129"/>
  <c r="C232" i="129"/>
  <c r="B232" i="129"/>
  <c r="U231" i="129"/>
  <c r="T231" i="129"/>
  <c r="R231" i="129"/>
  <c r="Q231" i="129"/>
  <c r="P231" i="129"/>
  <c r="O231" i="129"/>
  <c r="N231" i="129"/>
  <c r="M231" i="129"/>
  <c r="L231" i="129"/>
  <c r="K231" i="129"/>
  <c r="J231" i="129"/>
  <c r="I231" i="129"/>
  <c r="H231" i="129"/>
  <c r="G231" i="129"/>
  <c r="F231" i="129"/>
  <c r="E231" i="129"/>
  <c r="D231" i="129"/>
  <c r="C231" i="129"/>
  <c r="B231" i="129"/>
  <c r="U230" i="129"/>
  <c r="T230" i="129"/>
  <c r="R230" i="129"/>
  <c r="Q230" i="129"/>
  <c r="P230" i="129"/>
  <c r="O230" i="129"/>
  <c r="N230" i="129"/>
  <c r="M230" i="129"/>
  <c r="L230" i="129"/>
  <c r="K230" i="129"/>
  <c r="J230" i="129"/>
  <c r="I230" i="129"/>
  <c r="H230" i="129"/>
  <c r="G230" i="129"/>
  <c r="F230" i="129"/>
  <c r="E230" i="129"/>
  <c r="D230" i="129"/>
  <c r="C230" i="129"/>
  <c r="B230" i="129"/>
  <c r="U229" i="129"/>
  <c r="T229" i="129"/>
  <c r="R229" i="129"/>
  <c r="Q229" i="129"/>
  <c r="P229" i="129"/>
  <c r="O229" i="129"/>
  <c r="N229" i="129"/>
  <c r="M229" i="129"/>
  <c r="L229" i="129"/>
  <c r="K229" i="129"/>
  <c r="J229" i="129"/>
  <c r="I229" i="129"/>
  <c r="H229" i="129"/>
  <c r="G229" i="129"/>
  <c r="F229" i="129"/>
  <c r="E229" i="129"/>
  <c r="D229" i="129"/>
  <c r="C229" i="129"/>
  <c r="B229" i="129"/>
  <c r="U228" i="129"/>
  <c r="T228" i="129"/>
  <c r="R228" i="129"/>
  <c r="Q228" i="129"/>
  <c r="P228" i="129"/>
  <c r="O228" i="129"/>
  <c r="N228" i="129"/>
  <c r="M228" i="129"/>
  <c r="L228" i="129"/>
  <c r="K228" i="129"/>
  <c r="J228" i="129"/>
  <c r="I228" i="129"/>
  <c r="H228" i="129"/>
  <c r="G228" i="129"/>
  <c r="F228" i="129"/>
  <c r="E228" i="129"/>
  <c r="D228" i="129"/>
  <c r="C228" i="129"/>
  <c r="B228" i="129"/>
  <c r="R227" i="129"/>
  <c r="R226" i="129"/>
  <c r="R225" i="129"/>
  <c r="R224" i="129"/>
  <c r="R223" i="129"/>
  <c r="B223" i="129"/>
  <c r="U222" i="129"/>
  <c r="T222" i="129"/>
  <c r="R222" i="129"/>
  <c r="Q222" i="129"/>
  <c r="P222" i="129"/>
  <c r="O222" i="129"/>
  <c r="N222" i="129"/>
  <c r="M222" i="129"/>
  <c r="L222" i="129"/>
  <c r="K222" i="129"/>
  <c r="J222" i="129"/>
  <c r="I222" i="129"/>
  <c r="H222" i="129"/>
  <c r="G222" i="129"/>
  <c r="F222" i="129"/>
  <c r="E222" i="129"/>
  <c r="D222" i="129"/>
  <c r="C222" i="129"/>
  <c r="B222" i="129"/>
  <c r="Q217" i="129"/>
  <c r="P217" i="129"/>
  <c r="O217" i="129"/>
  <c r="N217" i="129"/>
  <c r="M217" i="129"/>
  <c r="L217" i="129"/>
  <c r="K217" i="129"/>
  <c r="J217" i="129"/>
  <c r="I217" i="129"/>
  <c r="H217" i="129"/>
  <c r="G217" i="129"/>
  <c r="F217" i="129"/>
  <c r="E217" i="129"/>
  <c r="D217" i="129"/>
  <c r="C217" i="129"/>
  <c r="B217" i="129"/>
  <c r="Q208" i="129"/>
  <c r="P208" i="129"/>
  <c r="O208" i="129"/>
  <c r="N208" i="129"/>
  <c r="M208" i="129"/>
  <c r="L208" i="129"/>
  <c r="K208" i="129"/>
  <c r="J208" i="129"/>
  <c r="I208" i="129"/>
  <c r="H208" i="129"/>
  <c r="G208" i="129"/>
  <c r="F208" i="129"/>
  <c r="E208" i="129"/>
  <c r="D208" i="129"/>
  <c r="C208" i="129"/>
  <c r="B208" i="129"/>
  <c r="Q200" i="129"/>
  <c r="P200" i="129"/>
  <c r="O200" i="129"/>
  <c r="N200" i="129"/>
  <c r="M200" i="129"/>
  <c r="L200" i="129"/>
  <c r="K200" i="129"/>
  <c r="J200" i="129"/>
  <c r="I200" i="129"/>
  <c r="H200" i="129"/>
  <c r="G200" i="129"/>
  <c r="F200" i="129"/>
  <c r="E200" i="129"/>
  <c r="D200" i="129"/>
  <c r="C200" i="129"/>
  <c r="B200" i="129"/>
  <c r="P192" i="129"/>
  <c r="O192" i="129"/>
  <c r="N192" i="129"/>
  <c r="M192" i="129"/>
  <c r="L192" i="129"/>
  <c r="K192" i="129"/>
  <c r="J192" i="129"/>
  <c r="I192" i="129"/>
  <c r="H192" i="129"/>
  <c r="G192" i="129"/>
  <c r="F192" i="129"/>
  <c r="E192" i="129"/>
  <c r="D192" i="129"/>
  <c r="C192" i="129"/>
  <c r="B192" i="129"/>
  <c r="P184" i="129"/>
  <c r="O184" i="129"/>
  <c r="N184" i="129"/>
  <c r="M184" i="129"/>
  <c r="L184" i="129"/>
  <c r="K184" i="129"/>
  <c r="J184" i="129"/>
  <c r="I184" i="129"/>
  <c r="H184" i="129"/>
  <c r="G184" i="129"/>
  <c r="F184" i="129"/>
  <c r="E184" i="129"/>
  <c r="D184" i="129"/>
  <c r="C184" i="129"/>
  <c r="B184" i="129"/>
  <c r="P175" i="129"/>
  <c r="O175" i="129"/>
  <c r="N175" i="129"/>
  <c r="M175" i="129"/>
  <c r="L175" i="129"/>
  <c r="K175" i="129"/>
  <c r="J175" i="129"/>
  <c r="I175" i="129"/>
  <c r="H175" i="129"/>
  <c r="G175" i="129"/>
  <c r="F175" i="129"/>
  <c r="E175" i="129"/>
  <c r="C175" i="129"/>
  <c r="B175" i="129"/>
  <c r="P166" i="129"/>
  <c r="O166" i="129"/>
  <c r="N166" i="129"/>
  <c r="M166" i="129"/>
  <c r="L166" i="129"/>
  <c r="K166" i="129"/>
  <c r="I166" i="129"/>
  <c r="H166" i="129"/>
  <c r="G166" i="129"/>
  <c r="F166" i="129"/>
  <c r="E166" i="129"/>
  <c r="C166" i="129"/>
  <c r="G111" i="129"/>
  <c r="F111" i="129"/>
  <c r="E111" i="129"/>
  <c r="D111" i="129"/>
  <c r="B108" i="129"/>
  <c r="B99" i="129"/>
  <c r="B98" i="129"/>
  <c r="B97" i="129"/>
  <c r="B96" i="129"/>
  <c r="B95" i="129"/>
  <c r="B94" i="129"/>
  <c r="B93" i="129"/>
  <c r="G87" i="129"/>
  <c r="F87" i="129"/>
  <c r="E87" i="129"/>
  <c r="D87" i="129"/>
  <c r="B87" i="129"/>
  <c r="G86" i="129"/>
  <c r="F86" i="129"/>
  <c r="E86" i="129"/>
  <c r="D86" i="129"/>
  <c r="B86" i="129"/>
  <c r="G85" i="129"/>
  <c r="F85" i="129"/>
  <c r="E85" i="129"/>
  <c r="D85" i="129"/>
  <c r="B85" i="129"/>
  <c r="G84" i="129"/>
  <c r="F84" i="129"/>
  <c r="E84" i="129"/>
  <c r="D84" i="129"/>
  <c r="B84" i="129"/>
  <c r="G83" i="129"/>
  <c r="F83" i="129"/>
  <c r="E83" i="129"/>
  <c r="D83" i="129"/>
  <c r="B83" i="129"/>
  <c r="G81" i="129"/>
  <c r="F81" i="129"/>
  <c r="E81" i="129"/>
  <c r="D81" i="129"/>
  <c r="B81" i="129"/>
  <c r="G80" i="129"/>
  <c r="F80" i="129"/>
  <c r="E80" i="129"/>
  <c r="D80" i="129"/>
  <c r="B80" i="129"/>
  <c r="G76" i="129"/>
  <c r="F76" i="129"/>
  <c r="E76" i="129"/>
  <c r="D76" i="129"/>
  <c r="B76" i="129"/>
  <c r="B75" i="129"/>
  <c r="B74" i="129"/>
  <c r="B73" i="129"/>
  <c r="B72" i="129"/>
  <c r="B71" i="129"/>
  <c r="G70" i="129"/>
  <c r="F70" i="129"/>
  <c r="B70" i="129"/>
  <c r="Q67" i="129"/>
  <c r="R66" i="129"/>
  <c r="Q66" i="129"/>
  <c r="P66" i="129"/>
  <c r="O66" i="129"/>
  <c r="N66" i="129"/>
  <c r="M66" i="129"/>
  <c r="L66" i="129"/>
  <c r="K66" i="129"/>
  <c r="J66" i="129"/>
  <c r="I66" i="129"/>
  <c r="H66" i="129"/>
  <c r="G66" i="129"/>
  <c r="F66" i="129"/>
  <c r="E66" i="129"/>
  <c r="D66" i="129"/>
  <c r="C66" i="129"/>
  <c r="B66" i="129"/>
  <c r="S65" i="129"/>
  <c r="R65" i="129"/>
  <c r="Q65" i="129"/>
  <c r="P65" i="129"/>
  <c r="O65" i="129"/>
  <c r="N65" i="129"/>
  <c r="M65" i="129"/>
  <c r="L65" i="129"/>
  <c r="K65" i="129"/>
  <c r="J65" i="129"/>
  <c r="I65" i="129"/>
  <c r="H65" i="129"/>
  <c r="G65" i="129"/>
  <c r="F65" i="129"/>
  <c r="E65" i="129"/>
  <c r="D65" i="129"/>
  <c r="C65" i="129"/>
  <c r="B65" i="129"/>
  <c r="S64" i="129"/>
  <c r="R64" i="129"/>
  <c r="Q64" i="129"/>
  <c r="P64" i="129"/>
  <c r="O64" i="129"/>
  <c r="N64" i="129"/>
  <c r="M64" i="129"/>
  <c r="L64" i="129"/>
  <c r="K64" i="129"/>
  <c r="J64" i="129"/>
  <c r="I64" i="129"/>
  <c r="H64" i="129"/>
  <c r="G64" i="129"/>
  <c r="F64" i="129"/>
  <c r="E64" i="129"/>
  <c r="D64" i="129"/>
  <c r="C64" i="129"/>
  <c r="B64" i="129"/>
  <c r="S63" i="129"/>
  <c r="R63" i="129"/>
  <c r="Q63" i="129"/>
  <c r="P63" i="129"/>
  <c r="O63" i="129"/>
  <c r="N63" i="129"/>
  <c r="M63" i="129"/>
  <c r="L63" i="129"/>
  <c r="K63" i="129"/>
  <c r="J63" i="129"/>
  <c r="I63" i="129"/>
  <c r="H63" i="129"/>
  <c r="G63" i="129"/>
  <c r="F63" i="129"/>
  <c r="E63" i="129"/>
  <c r="D63" i="129"/>
  <c r="C63" i="129"/>
  <c r="B63" i="129"/>
  <c r="S62" i="129"/>
  <c r="R62" i="129"/>
  <c r="Q62" i="129"/>
  <c r="P62" i="129"/>
  <c r="O62" i="129"/>
  <c r="N62" i="129"/>
  <c r="M62" i="129"/>
  <c r="L62" i="129"/>
  <c r="K62" i="129"/>
  <c r="J62" i="129"/>
  <c r="I62" i="129"/>
  <c r="H62" i="129"/>
  <c r="G62" i="129"/>
  <c r="F62" i="129"/>
  <c r="E62" i="129"/>
  <c r="D62" i="129"/>
  <c r="C62" i="129"/>
  <c r="B62" i="129"/>
  <c r="R61" i="129"/>
  <c r="B61" i="129"/>
  <c r="S60" i="129"/>
  <c r="R60" i="129"/>
  <c r="Q60" i="129"/>
  <c r="P60" i="129"/>
  <c r="O60" i="129"/>
  <c r="N60" i="129"/>
  <c r="M60" i="129"/>
  <c r="L60" i="129"/>
  <c r="K60" i="129"/>
  <c r="J60" i="129"/>
  <c r="I60" i="129"/>
  <c r="H60" i="129"/>
  <c r="G60" i="129"/>
  <c r="F60" i="129"/>
  <c r="E60" i="129"/>
  <c r="D60" i="129"/>
  <c r="C60" i="129"/>
  <c r="B60" i="129"/>
  <c r="Q55" i="129"/>
  <c r="P55" i="129"/>
  <c r="O55" i="129"/>
  <c r="N55" i="129"/>
  <c r="M55" i="129"/>
  <c r="L55" i="129"/>
  <c r="K55" i="129"/>
  <c r="J55" i="129"/>
  <c r="I55" i="129"/>
  <c r="H55" i="129"/>
  <c r="G55" i="129"/>
  <c r="F55" i="129"/>
  <c r="E55" i="129"/>
  <c r="D55" i="129"/>
  <c r="C55" i="129"/>
  <c r="B55" i="129"/>
  <c r="Q46" i="129"/>
  <c r="P46" i="129"/>
  <c r="O46" i="129"/>
  <c r="N46" i="129"/>
  <c r="M46" i="129"/>
  <c r="L46" i="129"/>
  <c r="K46" i="129"/>
  <c r="J46" i="129"/>
  <c r="I46" i="129"/>
  <c r="H46" i="129"/>
  <c r="G46" i="129"/>
  <c r="F46" i="129"/>
  <c r="E46" i="129"/>
  <c r="D46" i="129"/>
  <c r="C46" i="129"/>
  <c r="B46" i="129"/>
  <c r="Q37" i="129"/>
  <c r="P37" i="129"/>
  <c r="O37" i="129"/>
  <c r="N37" i="129"/>
  <c r="M37" i="129"/>
  <c r="L37" i="129"/>
  <c r="K37" i="129"/>
  <c r="J37" i="129"/>
  <c r="I37" i="129"/>
  <c r="H37" i="129"/>
  <c r="G37" i="129"/>
  <c r="F37" i="129"/>
  <c r="E37" i="129"/>
  <c r="D37" i="129"/>
  <c r="C37" i="129"/>
  <c r="B37" i="129"/>
  <c r="Q28" i="129"/>
  <c r="P28" i="129"/>
  <c r="O28" i="129"/>
  <c r="N28" i="129"/>
  <c r="M28" i="129"/>
  <c r="L28" i="129"/>
  <c r="K28" i="129"/>
  <c r="J28" i="129"/>
  <c r="I28" i="129"/>
  <c r="H28" i="129"/>
  <c r="G28" i="129"/>
  <c r="F28" i="129"/>
  <c r="E28" i="129"/>
  <c r="D28" i="129"/>
  <c r="C28" i="129"/>
  <c r="B28" i="129"/>
  <c r="Q20" i="129"/>
  <c r="P20" i="129"/>
  <c r="O20" i="129"/>
  <c r="N20" i="129"/>
  <c r="M20" i="129"/>
  <c r="L20" i="129"/>
  <c r="K20" i="129"/>
  <c r="J20" i="129"/>
  <c r="I20" i="129"/>
  <c r="H20" i="129"/>
  <c r="G20" i="129"/>
  <c r="F20" i="129"/>
  <c r="E20" i="129"/>
  <c r="D20" i="129"/>
  <c r="C20" i="129"/>
  <c r="B20" i="129"/>
  <c r="Q12" i="129"/>
  <c r="P12" i="129"/>
  <c r="O12" i="129"/>
  <c r="N12" i="129"/>
  <c r="M12" i="129"/>
  <c r="L12" i="129"/>
  <c r="K12" i="129"/>
  <c r="J12" i="129"/>
  <c r="I12" i="129"/>
  <c r="H12" i="129"/>
  <c r="G12" i="129"/>
  <c r="F12" i="129"/>
  <c r="E12" i="129"/>
  <c r="D12" i="129"/>
  <c r="C12" i="129"/>
  <c r="B12" i="129"/>
  <c r="B73" i="76"/>
  <c r="B74" i="76" s="1"/>
  <c r="B69" i="76"/>
  <c r="B70" i="76" s="1"/>
  <c r="B65" i="76"/>
  <c r="B66" i="76" s="1"/>
  <c r="B61" i="76"/>
  <c r="B45" i="76"/>
  <c r="B46" i="76" s="1"/>
  <c r="B47" i="76" s="1"/>
  <c r="B48" i="76" s="1"/>
  <c r="B49" i="76" s="1"/>
  <c r="B50" i="76" s="1"/>
  <c r="B41" i="76"/>
  <c r="B42" i="76" s="1"/>
  <c r="B35" i="76"/>
  <c r="B36" i="76" s="1"/>
  <c r="Q12" i="76"/>
  <c r="R48" i="58" s="1"/>
  <c r="O12" i="76"/>
  <c r="J12" i="76"/>
  <c r="K48" i="58" s="1"/>
  <c r="G12" i="76"/>
  <c r="H48" i="58" s="1"/>
  <c r="D12" i="76"/>
  <c r="Q33" i="114"/>
  <c r="O33" i="114"/>
  <c r="J33" i="114"/>
  <c r="H33" i="114"/>
  <c r="G33" i="114"/>
  <c r="E33" i="114"/>
  <c r="D33" i="114"/>
  <c r="B33" i="114"/>
  <c r="Q32" i="114"/>
  <c r="O32" i="114"/>
  <c r="J32" i="114"/>
  <c r="I32" i="114"/>
  <c r="H32" i="114"/>
  <c r="G32" i="114"/>
  <c r="F32" i="114"/>
  <c r="E32" i="114"/>
  <c r="D32" i="114"/>
  <c r="B32" i="114"/>
  <c r="N31" i="114"/>
  <c r="I31" i="114"/>
  <c r="F31" i="114"/>
  <c r="B31" i="114"/>
  <c r="Q30" i="114"/>
  <c r="O30" i="114"/>
  <c r="J30" i="114"/>
  <c r="I30" i="114"/>
  <c r="H30" i="114"/>
  <c r="G30" i="114"/>
  <c r="F30" i="114"/>
  <c r="E30" i="114"/>
  <c r="D30" i="114"/>
  <c r="B30" i="114"/>
  <c r="Q29" i="114"/>
  <c r="O29" i="114"/>
  <c r="J29" i="114"/>
  <c r="H29" i="114"/>
  <c r="G29" i="114"/>
  <c r="E29" i="114"/>
  <c r="D29" i="114"/>
  <c r="B29" i="114"/>
  <c r="I28" i="114"/>
  <c r="H28" i="114"/>
  <c r="F28" i="114"/>
  <c r="E28" i="114"/>
  <c r="B28" i="114"/>
  <c r="Q27" i="114"/>
  <c r="O27" i="114"/>
  <c r="N27" i="114"/>
  <c r="M27" i="114"/>
  <c r="J27" i="114"/>
  <c r="I27" i="114"/>
  <c r="H27" i="114"/>
  <c r="G27" i="114"/>
  <c r="Q17" i="114"/>
  <c r="O17" i="114"/>
  <c r="J17" i="114"/>
  <c r="H17" i="114"/>
  <c r="G17" i="114"/>
  <c r="E17" i="114"/>
  <c r="D17" i="114"/>
  <c r="B17" i="114"/>
  <c r="Q16" i="114"/>
  <c r="O16" i="114"/>
  <c r="J16" i="114"/>
  <c r="I16" i="114"/>
  <c r="G16" i="114"/>
  <c r="F16" i="114"/>
  <c r="E16" i="114"/>
  <c r="D16" i="114"/>
  <c r="B16" i="114"/>
  <c r="N15" i="114"/>
  <c r="I15" i="114"/>
  <c r="F15" i="114"/>
  <c r="B15" i="114"/>
  <c r="Q14" i="114"/>
  <c r="O14" i="114"/>
  <c r="J14" i="114"/>
  <c r="I14" i="114"/>
  <c r="G14" i="114"/>
  <c r="F14" i="114"/>
  <c r="E14" i="114"/>
  <c r="D14" i="114"/>
  <c r="B14" i="114"/>
  <c r="Q13" i="114"/>
  <c r="O13" i="114"/>
  <c r="J13" i="114"/>
  <c r="H13" i="114"/>
  <c r="G13" i="114"/>
  <c r="E13" i="114"/>
  <c r="D13" i="114"/>
  <c r="B13" i="114"/>
  <c r="I12" i="114"/>
  <c r="H12" i="114"/>
  <c r="F12" i="114"/>
  <c r="E12" i="114"/>
  <c r="B12" i="114"/>
  <c r="Q11" i="114"/>
  <c r="O11" i="114"/>
  <c r="N11" i="114"/>
  <c r="M11" i="114"/>
  <c r="J11" i="114"/>
  <c r="I11" i="114"/>
  <c r="H11" i="114"/>
  <c r="G11" i="114"/>
  <c r="F11" i="114"/>
  <c r="B32" i="96"/>
  <c r="B31" i="96"/>
  <c r="B30" i="96"/>
  <c r="B29" i="96"/>
  <c r="B28" i="96"/>
  <c r="B17" i="96"/>
  <c r="B16" i="96"/>
  <c r="B15" i="96"/>
  <c r="B14" i="96"/>
  <c r="B13" i="96"/>
  <c r="R46" i="75"/>
  <c r="S52" i="58" s="1"/>
  <c r="P46" i="75"/>
  <c r="N46" i="75"/>
  <c r="M46" i="75"/>
  <c r="L46" i="75"/>
  <c r="K46" i="75"/>
  <c r="I46" i="75"/>
  <c r="H46" i="75"/>
  <c r="E46" i="75"/>
  <c r="B46" i="75"/>
  <c r="R45" i="75"/>
  <c r="P45" i="75"/>
  <c r="B45" i="75"/>
  <c r="P44" i="75"/>
  <c r="M44" i="75"/>
  <c r="K44" i="75"/>
  <c r="F44" i="75"/>
  <c r="F46" i="75" s="1"/>
  <c r="B44" i="75"/>
  <c r="P43" i="75"/>
  <c r="M43" i="75"/>
  <c r="L43" i="75"/>
  <c r="F43" i="75"/>
  <c r="E43" i="75"/>
  <c r="B43" i="75"/>
  <c r="P42" i="75"/>
  <c r="M42" i="75"/>
  <c r="L42" i="75"/>
  <c r="F42" i="75"/>
  <c r="B42" i="75"/>
  <c r="P41" i="75"/>
  <c r="M41" i="75"/>
  <c r="F41" i="75"/>
  <c r="B41" i="75"/>
  <c r="P40" i="75"/>
  <c r="M40" i="75"/>
  <c r="F40" i="75"/>
  <c r="B40" i="75"/>
  <c r="P39" i="75"/>
  <c r="M39" i="75"/>
  <c r="L39" i="75"/>
  <c r="H39" i="75"/>
  <c r="F39" i="75"/>
  <c r="E39" i="75"/>
  <c r="B39" i="75"/>
  <c r="R38" i="75"/>
  <c r="P38" i="75"/>
  <c r="M38" i="75"/>
  <c r="F38" i="75"/>
  <c r="B38" i="75"/>
  <c r="R37" i="75"/>
  <c r="P37" i="75"/>
  <c r="M37" i="75"/>
  <c r="F37" i="75"/>
  <c r="B37" i="75"/>
  <c r="R36" i="75"/>
  <c r="P36" i="75"/>
  <c r="M36" i="75"/>
  <c r="F36" i="75"/>
  <c r="B36" i="75"/>
  <c r="R35" i="75"/>
  <c r="P35" i="75"/>
  <c r="M35" i="75"/>
  <c r="F35" i="75"/>
  <c r="B35" i="75"/>
  <c r="R34" i="75"/>
  <c r="P34" i="75"/>
  <c r="M34" i="75"/>
  <c r="F34" i="75"/>
  <c r="B34" i="75"/>
  <c r="R33" i="75"/>
  <c r="P33" i="75"/>
  <c r="M33" i="75"/>
  <c r="F33" i="75"/>
  <c r="B33" i="75"/>
  <c r="R32" i="75"/>
  <c r="P32" i="75"/>
  <c r="M32" i="75"/>
  <c r="F32" i="75"/>
  <c r="B32" i="75"/>
  <c r="R31" i="75"/>
  <c r="P31" i="75"/>
  <c r="M31" i="75"/>
  <c r="F31" i="75"/>
  <c r="B21" i="75"/>
  <c r="B20" i="75"/>
  <c r="B19" i="75"/>
  <c r="B18" i="75"/>
  <c r="B17" i="75"/>
  <c r="B16" i="75"/>
  <c r="B15" i="75"/>
  <c r="B14" i="75"/>
  <c r="B13" i="75"/>
  <c r="B12" i="75"/>
  <c r="O42" i="55"/>
  <c r="M42" i="55"/>
  <c r="J42" i="55"/>
  <c r="G42" i="55"/>
  <c r="D42" i="55"/>
  <c r="B42" i="55"/>
  <c r="O41" i="55"/>
  <c r="M41" i="55"/>
  <c r="J41" i="55"/>
  <c r="G41" i="55"/>
  <c r="D41" i="55"/>
  <c r="B41" i="55"/>
  <c r="O40" i="55"/>
  <c r="M40" i="55"/>
  <c r="J40" i="55"/>
  <c r="G40" i="55"/>
  <c r="D40" i="55"/>
  <c r="L39" i="55"/>
  <c r="I39" i="55"/>
  <c r="F39" i="55"/>
  <c r="L38" i="55"/>
  <c r="I38" i="55"/>
  <c r="F38" i="55"/>
  <c r="O37" i="55"/>
  <c r="M37" i="55"/>
  <c r="J37" i="55"/>
  <c r="G37" i="55"/>
  <c r="D37" i="55"/>
  <c r="B37" i="55"/>
  <c r="L36" i="55"/>
  <c r="I36" i="55"/>
  <c r="F36" i="55"/>
  <c r="B36" i="55"/>
  <c r="O35" i="55"/>
  <c r="M35" i="55"/>
  <c r="J35" i="55"/>
  <c r="D35" i="55"/>
  <c r="B35" i="55"/>
  <c r="L34" i="55"/>
  <c r="I34" i="55"/>
  <c r="F34" i="55"/>
  <c r="B34" i="55"/>
  <c r="B33" i="55"/>
  <c r="O32" i="55"/>
  <c r="M32" i="55"/>
  <c r="J32" i="55"/>
  <c r="G32" i="55"/>
  <c r="F32" i="55"/>
  <c r="E32" i="55"/>
  <c r="D32" i="55"/>
  <c r="O23" i="55"/>
  <c r="M23" i="55"/>
  <c r="J23" i="55"/>
  <c r="G23" i="55"/>
  <c r="D23" i="55"/>
  <c r="B23" i="55"/>
  <c r="O22" i="55"/>
  <c r="M22" i="55"/>
  <c r="J22" i="55"/>
  <c r="G22" i="55"/>
  <c r="D22" i="55"/>
  <c r="B22" i="55"/>
  <c r="O21" i="55"/>
  <c r="M21" i="55"/>
  <c r="J21" i="55"/>
  <c r="G21" i="55"/>
  <c r="F21" i="55"/>
  <c r="E21" i="55"/>
  <c r="D21" i="55"/>
  <c r="L20" i="55"/>
  <c r="I20" i="55"/>
  <c r="F20" i="55"/>
  <c r="L19" i="55"/>
  <c r="I19" i="55"/>
  <c r="F19" i="55"/>
  <c r="O18" i="55"/>
  <c r="M18" i="55"/>
  <c r="J18" i="55"/>
  <c r="G18" i="55"/>
  <c r="D18" i="55"/>
  <c r="B18" i="55"/>
  <c r="L17" i="55"/>
  <c r="I17" i="55"/>
  <c r="F17" i="55"/>
  <c r="B17" i="55"/>
  <c r="D16" i="55"/>
  <c r="B16" i="55"/>
  <c r="L15" i="55"/>
  <c r="I15" i="55"/>
  <c r="F15" i="55"/>
  <c r="B15" i="55"/>
  <c r="M14" i="55"/>
  <c r="J14" i="55"/>
  <c r="G14" i="55"/>
  <c r="B14" i="55"/>
  <c r="O13" i="55"/>
  <c r="M13" i="55"/>
  <c r="J13" i="55"/>
  <c r="G13" i="55"/>
  <c r="F13" i="55"/>
  <c r="E13" i="55"/>
  <c r="D13" i="55"/>
  <c r="B95" i="61"/>
  <c r="B96" i="61" s="1"/>
  <c r="B90" i="61"/>
  <c r="B91" i="61" s="1"/>
  <c r="B84" i="61"/>
  <c r="B85" i="61" s="1"/>
  <c r="B86" i="61" s="1"/>
  <c r="B87" i="61" s="1"/>
  <c r="B83" i="61"/>
  <c r="J75" i="61"/>
  <c r="J76" i="61" s="1"/>
  <c r="M43" i="58" s="1"/>
  <c r="I75" i="61"/>
  <c r="I76" i="61" s="1"/>
  <c r="L43" i="58" s="1"/>
  <c r="O74" i="61"/>
  <c r="O75" i="61" s="1"/>
  <c r="R17" i="58" s="1"/>
  <c r="M74" i="61"/>
  <c r="H74" i="61"/>
  <c r="E74" i="61"/>
  <c r="E75" i="61" s="1"/>
  <c r="H17" i="58" s="1"/>
  <c r="D76" i="78" s="1"/>
  <c r="P73" i="61"/>
  <c r="N73" i="61"/>
  <c r="L73" i="61"/>
  <c r="K73" i="61"/>
  <c r="F73" i="61"/>
  <c r="G73" i="61" s="1"/>
  <c r="B73" i="61"/>
  <c r="B74" i="61" s="1"/>
  <c r="B75" i="61" s="1"/>
  <c r="B76" i="61" s="1"/>
  <c r="L70" i="61"/>
  <c r="G70" i="61"/>
  <c r="J68" i="61"/>
  <c r="J69" i="61" s="1"/>
  <c r="M42" i="58" s="1"/>
  <c r="I68" i="61"/>
  <c r="I69" i="61" s="1"/>
  <c r="L42" i="58" s="1"/>
  <c r="P66" i="61"/>
  <c r="K66" i="61"/>
  <c r="L66" i="61" s="1"/>
  <c r="G66" i="61"/>
  <c r="B66" i="61"/>
  <c r="B67" i="61" s="1"/>
  <c r="O63" i="61"/>
  <c r="O67" i="61" s="1"/>
  <c r="M63" i="61"/>
  <c r="M67" i="61" s="1"/>
  <c r="M68" i="61" s="1"/>
  <c r="P16" i="58" s="1"/>
  <c r="H63" i="61"/>
  <c r="H67" i="61" s="1"/>
  <c r="H68" i="61" s="1"/>
  <c r="K16" i="58" s="1"/>
  <c r="E63" i="61"/>
  <c r="E67" i="61" s="1"/>
  <c r="F59" i="61"/>
  <c r="G59" i="61" s="1"/>
  <c r="B59" i="61"/>
  <c r="B60" i="61" s="1"/>
  <c r="B61" i="61" s="1"/>
  <c r="B63" i="61" s="1"/>
  <c r="B48" i="61"/>
  <c r="B49" i="61" s="1"/>
  <c r="B42" i="61"/>
  <c r="B43" i="61" s="1"/>
  <c r="B35" i="61"/>
  <c r="B36" i="61" s="1"/>
  <c r="B37" i="61" s="1"/>
  <c r="B38" i="61" s="1"/>
  <c r="B39" i="61" s="1"/>
  <c r="B26" i="61"/>
  <c r="B27" i="61" s="1"/>
  <c r="G23" i="61"/>
  <c r="B21" i="61"/>
  <c r="F20" i="61"/>
  <c r="E20" i="61"/>
  <c r="B20" i="61"/>
  <c r="E16" i="61"/>
  <c r="F17" i="58"/>
  <c r="E15" i="78" s="1"/>
  <c r="E15" i="61"/>
  <c r="E27" i="61" s="1"/>
  <c r="E14" i="61"/>
  <c r="G13" i="61"/>
  <c r="B13" i="61"/>
  <c r="B14" i="61" s="1"/>
  <c r="B15" i="61" s="1"/>
  <c r="J140" i="133"/>
  <c r="F139" i="133"/>
  <c r="E139" i="133"/>
  <c r="D139" i="133"/>
  <c r="C139" i="133"/>
  <c r="H138" i="133"/>
  <c r="F138" i="133"/>
  <c r="E138" i="133"/>
  <c r="D138" i="133"/>
  <c r="C138" i="133"/>
  <c r="H137" i="133"/>
  <c r="F137" i="133"/>
  <c r="E137" i="133"/>
  <c r="D137" i="133"/>
  <c r="C137" i="133"/>
  <c r="H136" i="133"/>
  <c r="F136" i="133"/>
  <c r="E136" i="133"/>
  <c r="D136" i="133"/>
  <c r="C136" i="133"/>
  <c r="H135" i="133"/>
  <c r="F135" i="133"/>
  <c r="E135" i="133"/>
  <c r="D135" i="133"/>
  <c r="C135" i="133"/>
  <c r="H134" i="133"/>
  <c r="F134" i="133"/>
  <c r="E134" i="133"/>
  <c r="D134" i="133"/>
  <c r="C134" i="133"/>
  <c r="H133" i="133"/>
  <c r="F133" i="133"/>
  <c r="E133" i="133"/>
  <c r="D133" i="133"/>
  <c r="C133" i="133"/>
  <c r="H132" i="133"/>
  <c r="F132" i="133"/>
  <c r="E132" i="133"/>
  <c r="D132" i="133"/>
  <c r="C132" i="133"/>
  <c r="H131" i="133"/>
  <c r="F131" i="133"/>
  <c r="E131" i="133"/>
  <c r="D131" i="133"/>
  <c r="C131" i="133"/>
  <c r="H130" i="133"/>
  <c r="F130" i="133"/>
  <c r="E130" i="133"/>
  <c r="D130" i="133"/>
  <c r="C130" i="133"/>
  <c r="H129" i="133"/>
  <c r="F129" i="133"/>
  <c r="E129" i="133"/>
  <c r="D129" i="133"/>
  <c r="C129" i="133"/>
  <c r="H128" i="133"/>
  <c r="F128" i="133"/>
  <c r="E128" i="133"/>
  <c r="D128" i="133"/>
  <c r="C128" i="133"/>
  <c r="H127" i="133"/>
  <c r="F127" i="133"/>
  <c r="E127" i="133"/>
  <c r="D127" i="133"/>
  <c r="C127" i="133"/>
  <c r="H126" i="133"/>
  <c r="F126" i="133"/>
  <c r="E126" i="133"/>
  <c r="D126" i="133"/>
  <c r="C126" i="133"/>
  <c r="H125" i="133"/>
  <c r="F125" i="133"/>
  <c r="E125" i="133"/>
  <c r="D125" i="133"/>
  <c r="C125" i="133"/>
  <c r="H124" i="133"/>
  <c r="F124" i="133"/>
  <c r="E124" i="133"/>
  <c r="D124" i="133"/>
  <c r="C124" i="133"/>
  <c r="H123" i="133"/>
  <c r="F123" i="133"/>
  <c r="E123" i="133"/>
  <c r="D123" i="133"/>
  <c r="C123" i="133"/>
  <c r="H122" i="133"/>
  <c r="F122" i="133"/>
  <c r="E122" i="133"/>
  <c r="D122" i="133"/>
  <c r="C122" i="133"/>
  <c r="H121" i="133"/>
  <c r="F121" i="133"/>
  <c r="E121" i="133"/>
  <c r="D121" i="133"/>
  <c r="C121" i="133"/>
  <c r="H120" i="133"/>
  <c r="F120" i="133"/>
  <c r="E120" i="133"/>
  <c r="D120" i="133"/>
  <c r="C120" i="133"/>
  <c r="H119" i="133"/>
  <c r="F119" i="133"/>
  <c r="E119" i="133"/>
  <c r="D119" i="133"/>
  <c r="C119" i="133"/>
  <c r="H118" i="133"/>
  <c r="F118" i="133"/>
  <c r="E118" i="133"/>
  <c r="D118" i="133"/>
  <c r="C118" i="133"/>
  <c r="H117" i="133"/>
  <c r="F117" i="133"/>
  <c r="E117" i="133"/>
  <c r="D117" i="133"/>
  <c r="C117" i="133"/>
  <c r="H116" i="133"/>
  <c r="F116" i="133"/>
  <c r="E116" i="133"/>
  <c r="D116" i="133"/>
  <c r="C116" i="133"/>
  <c r="H115" i="133"/>
  <c r="F115" i="133"/>
  <c r="E115" i="133"/>
  <c r="D115" i="133"/>
  <c r="C115" i="133"/>
  <c r="H114" i="133"/>
  <c r="F114" i="133"/>
  <c r="E114" i="133"/>
  <c r="D114" i="133"/>
  <c r="C114" i="133"/>
  <c r="H113" i="133"/>
  <c r="F113" i="133"/>
  <c r="E113" i="133"/>
  <c r="D113" i="133"/>
  <c r="C113" i="133"/>
  <c r="H112" i="133"/>
  <c r="F112" i="133"/>
  <c r="E112" i="133"/>
  <c r="D112" i="133"/>
  <c r="C112" i="133"/>
  <c r="H111" i="133"/>
  <c r="F111" i="133"/>
  <c r="E111" i="133"/>
  <c r="D111" i="133"/>
  <c r="C111" i="133"/>
  <c r="H110" i="133"/>
  <c r="F110" i="133"/>
  <c r="E110" i="133"/>
  <c r="D110" i="133"/>
  <c r="C110" i="133"/>
  <c r="H109" i="133"/>
  <c r="F109" i="133"/>
  <c r="E109" i="133"/>
  <c r="D109" i="133"/>
  <c r="C109" i="133"/>
  <c r="H108" i="133"/>
  <c r="F108" i="133"/>
  <c r="E108" i="133"/>
  <c r="D108" i="133"/>
  <c r="C108" i="133"/>
  <c r="H107" i="133"/>
  <c r="F107" i="133"/>
  <c r="E107" i="133"/>
  <c r="D107" i="133"/>
  <c r="C107" i="133"/>
  <c r="H106" i="133"/>
  <c r="F106" i="133"/>
  <c r="E106" i="133"/>
  <c r="D106" i="133"/>
  <c r="C106" i="133"/>
  <c r="H105" i="133"/>
  <c r="F105" i="133"/>
  <c r="E105" i="133"/>
  <c r="D105" i="133"/>
  <c r="C105" i="133"/>
  <c r="H104" i="133"/>
  <c r="F104" i="133"/>
  <c r="E104" i="133"/>
  <c r="D104" i="133"/>
  <c r="C104" i="133"/>
  <c r="H103" i="133"/>
  <c r="F103" i="133"/>
  <c r="E103" i="133"/>
  <c r="D103" i="133"/>
  <c r="C103" i="133"/>
  <c r="H102" i="133"/>
  <c r="F102" i="133"/>
  <c r="E102" i="133"/>
  <c r="D102" i="133"/>
  <c r="C102" i="133"/>
  <c r="H101" i="133"/>
  <c r="F101" i="133"/>
  <c r="E101" i="133"/>
  <c r="D101" i="133"/>
  <c r="C101" i="133"/>
  <c r="H100" i="133"/>
  <c r="F100" i="133"/>
  <c r="E100" i="133"/>
  <c r="D100" i="133"/>
  <c r="C100" i="133"/>
  <c r="H99" i="133"/>
  <c r="F99" i="133"/>
  <c r="E99" i="133"/>
  <c r="D99" i="133"/>
  <c r="C99" i="133"/>
  <c r="H98" i="133"/>
  <c r="F98" i="133"/>
  <c r="E98" i="133"/>
  <c r="D98" i="133"/>
  <c r="C98" i="133"/>
  <c r="H97" i="133"/>
  <c r="F97" i="133"/>
  <c r="E97" i="133"/>
  <c r="D97" i="133"/>
  <c r="C97" i="133"/>
  <c r="H96" i="133"/>
  <c r="F96" i="133"/>
  <c r="E96" i="133"/>
  <c r="D96" i="133"/>
  <c r="C96" i="133"/>
  <c r="H95" i="133"/>
  <c r="F95" i="133"/>
  <c r="E95" i="133"/>
  <c r="D95" i="133"/>
  <c r="C95" i="133"/>
  <c r="H94" i="133"/>
  <c r="F94" i="133"/>
  <c r="E94" i="133"/>
  <c r="D94" i="133"/>
  <c r="C94" i="133"/>
  <c r="H93" i="133"/>
  <c r="F93" i="133"/>
  <c r="E93" i="133"/>
  <c r="D93" i="133"/>
  <c r="C93" i="133"/>
  <c r="H92" i="133"/>
  <c r="F92" i="133"/>
  <c r="E92" i="133"/>
  <c r="D92" i="133"/>
  <c r="C92" i="133"/>
  <c r="H91" i="133"/>
  <c r="F91" i="133"/>
  <c r="E91" i="133"/>
  <c r="D91" i="133"/>
  <c r="C91" i="133"/>
  <c r="H90" i="133"/>
  <c r="F90" i="133"/>
  <c r="E90" i="133"/>
  <c r="D90" i="133"/>
  <c r="C90" i="133"/>
  <c r="H89" i="133"/>
  <c r="F89" i="133"/>
  <c r="E89" i="133"/>
  <c r="C89" i="133"/>
  <c r="H88" i="133"/>
  <c r="F88" i="133"/>
  <c r="E88" i="133"/>
  <c r="D88" i="133"/>
  <c r="C88" i="133"/>
  <c r="H87" i="133"/>
  <c r="F87" i="133"/>
  <c r="E87" i="133"/>
  <c r="D87" i="133"/>
  <c r="C87" i="133"/>
  <c r="H86" i="133"/>
  <c r="F86" i="133"/>
  <c r="E86" i="133"/>
  <c r="D86" i="133"/>
  <c r="C86" i="133"/>
  <c r="H85" i="133"/>
  <c r="F85" i="133"/>
  <c r="E85" i="133"/>
  <c r="D85" i="133"/>
  <c r="C85" i="133"/>
  <c r="H84" i="133"/>
  <c r="F84" i="133"/>
  <c r="E84" i="133"/>
  <c r="D84" i="133"/>
  <c r="C84" i="133"/>
  <c r="H83" i="133"/>
  <c r="F83" i="133"/>
  <c r="E83" i="133"/>
  <c r="D83" i="133"/>
  <c r="C83" i="133"/>
  <c r="H82" i="133"/>
  <c r="F82" i="133"/>
  <c r="E82" i="133"/>
  <c r="D82" i="133"/>
  <c r="C82" i="133"/>
  <c r="H81" i="133"/>
  <c r="F81" i="133"/>
  <c r="E81" i="133"/>
  <c r="D81" i="133"/>
  <c r="C81" i="133"/>
  <c r="H80" i="133"/>
  <c r="F80" i="133"/>
  <c r="E80" i="133"/>
  <c r="D80" i="133"/>
  <c r="C80" i="133"/>
  <c r="H79" i="133"/>
  <c r="F79" i="133"/>
  <c r="E79" i="133"/>
  <c r="D79" i="133"/>
  <c r="C79" i="133"/>
  <c r="H78" i="133"/>
  <c r="F78" i="133"/>
  <c r="E78" i="133"/>
  <c r="D78" i="133"/>
  <c r="C78" i="133"/>
  <c r="H77" i="133"/>
  <c r="F77" i="133"/>
  <c r="E77" i="133"/>
  <c r="D77" i="133"/>
  <c r="C77" i="133"/>
  <c r="H76" i="133"/>
  <c r="F76" i="133"/>
  <c r="E76" i="133"/>
  <c r="D76" i="133"/>
  <c r="C76" i="133"/>
  <c r="H75" i="133"/>
  <c r="F75" i="133"/>
  <c r="E75" i="133"/>
  <c r="C75" i="133"/>
  <c r="H74" i="133"/>
  <c r="F74" i="133"/>
  <c r="E74" i="133"/>
  <c r="D74" i="133"/>
  <c r="C74" i="133"/>
  <c r="H73" i="133"/>
  <c r="F73" i="133"/>
  <c r="E73" i="133"/>
  <c r="D73" i="133"/>
  <c r="C73" i="133"/>
  <c r="H72" i="133"/>
  <c r="F72" i="133"/>
  <c r="E72" i="133"/>
  <c r="D72" i="133"/>
  <c r="C72" i="133"/>
  <c r="H71" i="133"/>
  <c r="F71" i="133"/>
  <c r="E71" i="133"/>
  <c r="D71" i="133"/>
  <c r="C71" i="133"/>
  <c r="H70" i="133"/>
  <c r="F70" i="133"/>
  <c r="E70" i="133"/>
  <c r="D70" i="133"/>
  <c r="C70" i="133"/>
  <c r="H69" i="133"/>
  <c r="F69" i="133"/>
  <c r="E69" i="133"/>
  <c r="D69" i="133"/>
  <c r="C69" i="133"/>
  <c r="H68" i="133"/>
  <c r="F68" i="133"/>
  <c r="E68" i="133"/>
  <c r="D68" i="133"/>
  <c r="C68" i="133"/>
  <c r="H67" i="133"/>
  <c r="F67" i="133"/>
  <c r="E67" i="133"/>
  <c r="D67" i="133"/>
  <c r="C67" i="133"/>
  <c r="H66" i="133"/>
  <c r="F66" i="133"/>
  <c r="E66" i="133"/>
  <c r="D66" i="133"/>
  <c r="C66" i="133"/>
  <c r="H65" i="133"/>
  <c r="F65" i="133"/>
  <c r="E65" i="133"/>
  <c r="D65" i="133"/>
  <c r="C65" i="133"/>
  <c r="H64" i="133"/>
  <c r="F64" i="133"/>
  <c r="E64" i="133"/>
  <c r="D64" i="133"/>
  <c r="C64" i="133"/>
  <c r="H63" i="133"/>
  <c r="F63" i="133"/>
  <c r="E63" i="133"/>
  <c r="D63" i="133"/>
  <c r="C63" i="133"/>
  <c r="H62" i="133"/>
  <c r="F62" i="133"/>
  <c r="E62" i="133"/>
  <c r="D62" i="133"/>
  <c r="C62" i="133"/>
  <c r="H61" i="133"/>
  <c r="F61" i="133"/>
  <c r="E61" i="133"/>
  <c r="C61" i="133"/>
  <c r="H60" i="133"/>
  <c r="F60" i="133"/>
  <c r="E60" i="133"/>
  <c r="D60" i="133"/>
  <c r="C60" i="133"/>
  <c r="H59" i="133"/>
  <c r="F59" i="133"/>
  <c r="E59" i="133"/>
  <c r="D59" i="133"/>
  <c r="C59" i="133"/>
  <c r="H58" i="133"/>
  <c r="F58" i="133"/>
  <c r="E58" i="133"/>
  <c r="D58" i="133"/>
  <c r="C58" i="133"/>
  <c r="H57" i="133"/>
  <c r="F57" i="133"/>
  <c r="E57" i="133"/>
  <c r="D57" i="133"/>
  <c r="C57" i="133"/>
  <c r="H56" i="133"/>
  <c r="F56" i="133"/>
  <c r="E56" i="133"/>
  <c r="D56" i="133"/>
  <c r="C56" i="133"/>
  <c r="H55" i="133"/>
  <c r="F55" i="133"/>
  <c r="E55" i="133"/>
  <c r="D55" i="133"/>
  <c r="C55" i="133"/>
  <c r="H54" i="133"/>
  <c r="F54" i="133"/>
  <c r="E54" i="133"/>
  <c r="D54" i="133"/>
  <c r="C54" i="133"/>
  <c r="H53" i="133"/>
  <c r="F53" i="133"/>
  <c r="E53" i="133"/>
  <c r="D53" i="133"/>
  <c r="C53" i="133"/>
  <c r="H52" i="133"/>
  <c r="F52" i="133"/>
  <c r="E52" i="133"/>
  <c r="D52" i="133"/>
  <c r="C52" i="133"/>
  <c r="H51" i="133"/>
  <c r="F51" i="133"/>
  <c r="E51" i="133"/>
  <c r="D51" i="133"/>
  <c r="C51" i="133"/>
  <c r="H50" i="133"/>
  <c r="F50" i="133"/>
  <c r="E50" i="133"/>
  <c r="D50" i="133"/>
  <c r="C50" i="133"/>
  <c r="H49" i="133"/>
  <c r="F49" i="133"/>
  <c r="E49" i="133"/>
  <c r="D49" i="133"/>
  <c r="C49" i="133"/>
  <c r="H48" i="133"/>
  <c r="F48" i="133"/>
  <c r="E48" i="133"/>
  <c r="D48" i="133"/>
  <c r="C48" i="133"/>
  <c r="H47" i="133"/>
  <c r="F47" i="133"/>
  <c r="E47" i="133"/>
  <c r="C47" i="133"/>
  <c r="H46" i="133"/>
  <c r="F46" i="133"/>
  <c r="E46" i="133"/>
  <c r="D46" i="133"/>
  <c r="C46" i="133"/>
  <c r="H45" i="133"/>
  <c r="F45" i="133"/>
  <c r="E45" i="133"/>
  <c r="D45" i="133"/>
  <c r="C45" i="133"/>
  <c r="H44" i="133"/>
  <c r="F44" i="133"/>
  <c r="E44" i="133"/>
  <c r="D44" i="133"/>
  <c r="C44" i="133"/>
  <c r="H43" i="133"/>
  <c r="F43" i="133"/>
  <c r="E43" i="133"/>
  <c r="D43" i="133"/>
  <c r="C43" i="133"/>
  <c r="H42" i="133"/>
  <c r="F42" i="133"/>
  <c r="E42" i="133"/>
  <c r="D42" i="133"/>
  <c r="C42" i="133"/>
  <c r="H41" i="133"/>
  <c r="F41" i="133"/>
  <c r="E41" i="133"/>
  <c r="D41" i="133"/>
  <c r="C41" i="133"/>
  <c r="H40" i="133"/>
  <c r="F40" i="133"/>
  <c r="E40" i="133"/>
  <c r="D40" i="133"/>
  <c r="C40" i="133"/>
  <c r="H39" i="133"/>
  <c r="F39" i="133"/>
  <c r="D39" i="133"/>
  <c r="C39" i="133"/>
  <c r="H38" i="133"/>
  <c r="F38" i="133"/>
  <c r="E38" i="133"/>
  <c r="D38" i="133"/>
  <c r="C38" i="133"/>
  <c r="H37" i="133"/>
  <c r="F37" i="133"/>
  <c r="E37" i="133"/>
  <c r="D37" i="133"/>
  <c r="C37" i="133"/>
  <c r="H36" i="133"/>
  <c r="F36" i="133"/>
  <c r="E36" i="133"/>
  <c r="D36" i="133"/>
  <c r="C36" i="133"/>
  <c r="F35" i="133"/>
  <c r="E35" i="133"/>
  <c r="C35" i="133"/>
  <c r="H34" i="133"/>
  <c r="F34" i="133"/>
  <c r="E34" i="133"/>
  <c r="D34" i="133"/>
  <c r="C34" i="133"/>
  <c r="H33" i="133"/>
  <c r="F33" i="133"/>
  <c r="E33" i="133"/>
  <c r="D33" i="133"/>
  <c r="C33" i="133"/>
  <c r="S32" i="133"/>
  <c r="R32" i="133"/>
  <c r="Q32" i="133"/>
  <c r="P32" i="133"/>
  <c r="O32" i="133"/>
  <c r="N32" i="133"/>
  <c r="H32" i="133"/>
  <c r="F32" i="133"/>
  <c r="E32" i="133"/>
  <c r="C32" i="133"/>
  <c r="M31" i="133"/>
  <c r="H31" i="133"/>
  <c r="F31" i="133"/>
  <c r="E31" i="133"/>
  <c r="D31" i="133"/>
  <c r="C31" i="133"/>
  <c r="H30" i="133"/>
  <c r="F30" i="133"/>
  <c r="E30" i="133"/>
  <c r="D30" i="133"/>
  <c r="C30" i="133"/>
  <c r="H29" i="133"/>
  <c r="F29" i="133"/>
  <c r="E29" i="133"/>
  <c r="D29" i="133"/>
  <c r="C29" i="133"/>
  <c r="H28" i="133"/>
  <c r="F28" i="133"/>
  <c r="E28" i="133"/>
  <c r="D28" i="133"/>
  <c r="C28" i="133"/>
  <c r="H27" i="133"/>
  <c r="F27" i="133"/>
  <c r="E27" i="133"/>
  <c r="D27" i="133"/>
  <c r="C27" i="133"/>
  <c r="S26" i="133"/>
  <c r="R26" i="133"/>
  <c r="Q26" i="133"/>
  <c r="P26" i="133"/>
  <c r="O26" i="133"/>
  <c r="N26" i="133"/>
  <c r="H26" i="133"/>
  <c r="F26" i="133"/>
  <c r="E26" i="133"/>
  <c r="D26" i="133"/>
  <c r="C26" i="133"/>
  <c r="M25" i="133"/>
  <c r="H25" i="133"/>
  <c r="F25" i="133"/>
  <c r="E25" i="133"/>
  <c r="D25" i="133"/>
  <c r="C25" i="133"/>
  <c r="H24" i="133"/>
  <c r="F24" i="133"/>
  <c r="E24" i="133"/>
  <c r="D24" i="133"/>
  <c r="C24" i="133"/>
  <c r="H23" i="133"/>
  <c r="F23" i="133"/>
  <c r="E23" i="133"/>
  <c r="D23" i="133"/>
  <c r="C23" i="133"/>
  <c r="S22" i="133"/>
  <c r="R22" i="133"/>
  <c r="Q22" i="133"/>
  <c r="P22" i="133"/>
  <c r="O22" i="133"/>
  <c r="N22" i="133"/>
  <c r="M22" i="133"/>
  <c r="H22" i="133"/>
  <c r="F22" i="133"/>
  <c r="E22" i="133"/>
  <c r="S21" i="133"/>
  <c r="R21" i="133"/>
  <c r="Q21" i="133"/>
  <c r="P21" i="133"/>
  <c r="O21" i="133"/>
  <c r="N21" i="133"/>
  <c r="M21" i="133"/>
  <c r="F21" i="133"/>
  <c r="E21" i="133"/>
  <c r="C21" i="133"/>
  <c r="H20" i="133"/>
  <c r="F20" i="133"/>
  <c r="E20" i="133"/>
  <c r="D20" i="133"/>
  <c r="C20" i="133"/>
  <c r="H19" i="133"/>
  <c r="F19" i="133"/>
  <c r="E19" i="133"/>
  <c r="D19" i="133"/>
  <c r="C19" i="133"/>
  <c r="S18" i="133"/>
  <c r="R18" i="133"/>
  <c r="Q18" i="133"/>
  <c r="P18" i="133"/>
  <c r="O18" i="133"/>
  <c r="N18" i="133"/>
  <c r="H22" i="54" s="1"/>
  <c r="H73" i="54" s="1"/>
  <c r="I73" i="54" s="1"/>
  <c r="M18" i="133"/>
  <c r="H18" i="133"/>
  <c r="F18" i="133"/>
  <c r="E18" i="133"/>
  <c r="D18" i="133"/>
  <c r="S17" i="133"/>
  <c r="R17" i="133"/>
  <c r="Q17" i="133"/>
  <c r="P17" i="133"/>
  <c r="O17" i="133"/>
  <c r="L17" i="133"/>
  <c r="H17" i="133"/>
  <c r="F17" i="133"/>
  <c r="E17" i="133"/>
  <c r="Q16" i="133"/>
  <c r="O16" i="133"/>
  <c r="L16" i="133"/>
  <c r="H16" i="133"/>
  <c r="F16" i="133"/>
  <c r="E16" i="133"/>
  <c r="D16" i="133"/>
  <c r="C16" i="133"/>
  <c r="Q15" i="133"/>
  <c r="L15" i="133"/>
  <c r="H15" i="133"/>
  <c r="F15" i="133"/>
  <c r="E15" i="133"/>
  <c r="D15" i="133"/>
  <c r="C15" i="133"/>
  <c r="Q14" i="133"/>
  <c r="M14" i="133"/>
  <c r="L14" i="133"/>
  <c r="H14" i="133"/>
  <c r="F14" i="133"/>
  <c r="E14" i="133"/>
  <c r="D14" i="133"/>
  <c r="C14" i="133"/>
  <c r="S13" i="133"/>
  <c r="R13" i="133"/>
  <c r="Q13" i="133"/>
  <c r="P13" i="133"/>
  <c r="O13" i="133"/>
  <c r="N13" i="133"/>
  <c r="M13" i="133"/>
  <c r="H13" i="133"/>
  <c r="F13" i="133"/>
  <c r="E13" i="133"/>
  <c r="D13" i="133"/>
  <c r="C13" i="133"/>
  <c r="H12" i="133"/>
  <c r="F12" i="133"/>
  <c r="E12" i="133"/>
  <c r="D12" i="133"/>
  <c r="C12" i="133"/>
  <c r="S11" i="133"/>
  <c r="R11" i="133"/>
  <c r="Q11" i="133"/>
  <c r="P11" i="133"/>
  <c r="O11" i="133"/>
  <c r="N11" i="133"/>
  <c r="M11" i="133"/>
  <c r="H11" i="133"/>
  <c r="F11" i="133"/>
  <c r="E11" i="133"/>
  <c r="D11" i="133"/>
  <c r="C11" i="133"/>
  <c r="S10" i="133"/>
  <c r="R10" i="133"/>
  <c r="Q10" i="133"/>
  <c r="P10" i="133"/>
  <c r="O10" i="133"/>
  <c r="M10" i="133"/>
  <c r="D41" i="54" s="1"/>
  <c r="D91" i="54" s="1"/>
  <c r="H10" i="133"/>
  <c r="F10" i="133"/>
  <c r="E10" i="133"/>
  <c r="C10" i="133"/>
  <c r="I9" i="133"/>
  <c r="B10" i="133" s="1"/>
  <c r="G9" i="133"/>
  <c r="F9" i="133"/>
  <c r="E9" i="133"/>
  <c r="C9" i="133"/>
  <c r="B9" i="133"/>
  <c r="I8" i="133"/>
  <c r="H8" i="133"/>
  <c r="G8" i="133"/>
  <c r="F8" i="133"/>
  <c r="E8" i="133"/>
  <c r="D8" i="133"/>
  <c r="C8" i="133"/>
  <c r="B8" i="133"/>
  <c r="I7" i="133"/>
  <c r="H7" i="133"/>
  <c r="G7" i="133"/>
  <c r="F7" i="133"/>
  <c r="E7" i="133"/>
  <c r="D7" i="133"/>
  <c r="C7" i="133"/>
  <c r="B7" i="133"/>
  <c r="S6" i="133"/>
  <c r="R6" i="133"/>
  <c r="Q6" i="133"/>
  <c r="P6" i="133"/>
  <c r="O6" i="133"/>
  <c r="N6" i="133"/>
  <c r="M6" i="133"/>
  <c r="M7" i="133" s="1"/>
  <c r="N5" i="133" s="1"/>
  <c r="N7" i="133" s="1"/>
  <c r="O5" i="133" s="1"/>
  <c r="I6" i="133"/>
  <c r="H6" i="133"/>
  <c r="G6" i="133"/>
  <c r="F6" i="133"/>
  <c r="E6" i="133"/>
  <c r="D6" i="133"/>
  <c r="C6" i="133"/>
  <c r="B6" i="133"/>
  <c r="M5" i="133"/>
  <c r="I5" i="133"/>
  <c r="H5" i="133"/>
  <c r="G5" i="133"/>
  <c r="F5" i="133"/>
  <c r="E5" i="133"/>
  <c r="J105" i="54"/>
  <c r="I105" i="54"/>
  <c r="H105" i="54"/>
  <c r="G105" i="54"/>
  <c r="F105" i="54"/>
  <c r="E105" i="54"/>
  <c r="B105" i="54"/>
  <c r="B104" i="54"/>
  <c r="J103" i="54"/>
  <c r="I103" i="54"/>
  <c r="H103" i="54"/>
  <c r="G103" i="54"/>
  <c r="F103" i="54"/>
  <c r="E103" i="54"/>
  <c r="B103" i="54"/>
  <c r="J102" i="54"/>
  <c r="I102" i="54"/>
  <c r="H102" i="54"/>
  <c r="G102" i="54"/>
  <c r="F102" i="54"/>
  <c r="E102" i="54"/>
  <c r="B102" i="54"/>
  <c r="B101" i="54"/>
  <c r="B100" i="54"/>
  <c r="B99" i="54"/>
  <c r="J98" i="54"/>
  <c r="I98" i="54"/>
  <c r="H98" i="54"/>
  <c r="G98" i="54"/>
  <c r="F98" i="54"/>
  <c r="B92" i="54"/>
  <c r="J91" i="54"/>
  <c r="I91" i="54"/>
  <c r="H91" i="54"/>
  <c r="G91" i="54"/>
  <c r="F91" i="54"/>
  <c r="B91" i="54"/>
  <c r="B90" i="54"/>
  <c r="B89" i="54"/>
  <c r="J88" i="54"/>
  <c r="I88" i="54"/>
  <c r="H88" i="54"/>
  <c r="G88" i="54"/>
  <c r="F88" i="54"/>
  <c r="E88" i="54"/>
  <c r="B88" i="54"/>
  <c r="B87" i="54"/>
  <c r="B86" i="54"/>
  <c r="D85" i="54"/>
  <c r="N75" i="54"/>
  <c r="I75" i="54"/>
  <c r="F75" i="54"/>
  <c r="R73" i="54"/>
  <c r="P73" i="54"/>
  <c r="N73" i="54"/>
  <c r="M73" i="54"/>
  <c r="F73" i="54"/>
  <c r="E73" i="54"/>
  <c r="D73" i="54"/>
  <c r="Q71" i="54"/>
  <c r="O71" i="54"/>
  <c r="J71" i="54"/>
  <c r="G71" i="54"/>
  <c r="D71" i="54"/>
  <c r="B71" i="54"/>
  <c r="B70" i="54"/>
  <c r="D69" i="54"/>
  <c r="D70" i="54" s="1"/>
  <c r="D72" i="54" s="1"/>
  <c r="D74" i="54" s="1"/>
  <c r="D76" i="54" s="1"/>
  <c r="E41" i="58" s="1"/>
  <c r="D41" i="78" s="1"/>
  <c r="B69" i="54"/>
  <c r="B68" i="54"/>
  <c r="N67" i="54"/>
  <c r="I67" i="54"/>
  <c r="F67" i="54"/>
  <c r="B67" i="54"/>
  <c r="F66" i="54"/>
  <c r="E66" i="54"/>
  <c r="D66" i="54"/>
  <c r="B66" i="54"/>
  <c r="F65" i="54"/>
  <c r="B65" i="54"/>
  <c r="Q64" i="54"/>
  <c r="O64" i="54"/>
  <c r="J64" i="54"/>
  <c r="G64" i="54"/>
  <c r="F64" i="54"/>
  <c r="E64" i="54"/>
  <c r="D64" i="54"/>
  <c r="J55" i="54"/>
  <c r="I55" i="54"/>
  <c r="H55" i="54"/>
  <c r="G55" i="54"/>
  <c r="F55" i="54"/>
  <c r="E55" i="54"/>
  <c r="B55" i="54"/>
  <c r="B54" i="54"/>
  <c r="J53" i="54"/>
  <c r="I53" i="54"/>
  <c r="H53" i="54"/>
  <c r="G53" i="54"/>
  <c r="F53" i="54"/>
  <c r="E53" i="54"/>
  <c r="B53" i="54"/>
  <c r="J52" i="54"/>
  <c r="I52" i="54"/>
  <c r="H52" i="54"/>
  <c r="G52" i="54"/>
  <c r="F52" i="54"/>
  <c r="E52" i="54"/>
  <c r="B52" i="54"/>
  <c r="B51" i="54"/>
  <c r="B50" i="54"/>
  <c r="B49" i="54"/>
  <c r="J48" i="54"/>
  <c r="I48" i="54"/>
  <c r="H48" i="54"/>
  <c r="G48" i="54"/>
  <c r="F48" i="54"/>
  <c r="B42" i="54"/>
  <c r="J41" i="54"/>
  <c r="I41" i="54"/>
  <c r="H41" i="54"/>
  <c r="G41" i="54"/>
  <c r="F41" i="54"/>
  <c r="B41" i="54"/>
  <c r="B40" i="54"/>
  <c r="B39" i="54"/>
  <c r="J38" i="54"/>
  <c r="I38" i="54"/>
  <c r="H38" i="54"/>
  <c r="G38" i="54"/>
  <c r="F38" i="54"/>
  <c r="E38" i="54"/>
  <c r="B38" i="54"/>
  <c r="B37" i="54"/>
  <c r="B36" i="54"/>
  <c r="D35" i="54"/>
  <c r="Q25" i="54"/>
  <c r="O25" i="54"/>
  <c r="J25" i="54"/>
  <c r="G25" i="54"/>
  <c r="D25" i="54"/>
  <c r="N24" i="54"/>
  <c r="I24" i="54"/>
  <c r="F24" i="54"/>
  <c r="E24" i="54"/>
  <c r="Q23" i="54"/>
  <c r="O23" i="54"/>
  <c r="J23" i="54"/>
  <c r="G23" i="54"/>
  <c r="D23" i="54"/>
  <c r="R22" i="54"/>
  <c r="P22" i="54"/>
  <c r="N22" i="54"/>
  <c r="M22" i="54"/>
  <c r="F22" i="54"/>
  <c r="Q21" i="54"/>
  <c r="O21" i="54"/>
  <c r="J21" i="54"/>
  <c r="G21" i="54"/>
  <c r="D21" i="54"/>
  <c r="Q20" i="54"/>
  <c r="O20" i="54"/>
  <c r="J20" i="54"/>
  <c r="G20" i="54"/>
  <c r="D20" i="54"/>
  <c r="B20" i="54"/>
  <c r="Q19" i="54"/>
  <c r="O19" i="54"/>
  <c r="J19" i="54"/>
  <c r="G19" i="54"/>
  <c r="D19" i="54"/>
  <c r="B19" i="54"/>
  <c r="B18" i="54"/>
  <c r="B17" i="54"/>
  <c r="N16" i="54"/>
  <c r="I16" i="54"/>
  <c r="F16" i="54"/>
  <c r="B16" i="54"/>
  <c r="Q15" i="54"/>
  <c r="O15" i="54"/>
  <c r="J15" i="54"/>
  <c r="G15" i="54"/>
  <c r="F15" i="54"/>
  <c r="E15" i="54"/>
  <c r="D15" i="54"/>
  <c r="B15" i="54"/>
  <c r="Q14" i="54"/>
  <c r="O14" i="54"/>
  <c r="J14" i="54"/>
  <c r="G14" i="54"/>
  <c r="F14" i="54"/>
  <c r="B14" i="54"/>
  <c r="Q13" i="54"/>
  <c r="O13" i="54"/>
  <c r="J13" i="54"/>
  <c r="G13" i="54"/>
  <c r="F13" i="54"/>
  <c r="E13" i="54"/>
  <c r="D13" i="54"/>
  <c r="J87" i="116"/>
  <c r="F87" i="116"/>
  <c r="B87" i="116"/>
  <c r="K86" i="116"/>
  <c r="J86" i="116"/>
  <c r="I86" i="116"/>
  <c r="H86" i="116"/>
  <c r="G86" i="116"/>
  <c r="F86" i="116"/>
  <c r="E86" i="116"/>
  <c r="D86" i="116"/>
  <c r="B86" i="116"/>
  <c r="K85" i="116"/>
  <c r="J85" i="116"/>
  <c r="I85" i="116"/>
  <c r="H85" i="116"/>
  <c r="G85" i="116"/>
  <c r="F85" i="116"/>
  <c r="E85" i="116"/>
  <c r="D85" i="116"/>
  <c r="B85" i="116"/>
  <c r="K84" i="116"/>
  <c r="J84" i="116"/>
  <c r="I84" i="116"/>
  <c r="H84" i="116"/>
  <c r="G84" i="116"/>
  <c r="F84" i="116"/>
  <c r="E84" i="116"/>
  <c r="D84" i="116"/>
  <c r="B84" i="116"/>
  <c r="J83" i="116"/>
  <c r="F83" i="116"/>
  <c r="B83" i="116"/>
  <c r="K82" i="116"/>
  <c r="J82" i="116"/>
  <c r="I82" i="116"/>
  <c r="H82" i="116"/>
  <c r="G82" i="116"/>
  <c r="F82" i="116"/>
  <c r="E82" i="116"/>
  <c r="D82" i="116"/>
  <c r="B82" i="116"/>
  <c r="K81" i="116"/>
  <c r="J81" i="116"/>
  <c r="I81" i="116"/>
  <c r="H81" i="116"/>
  <c r="G81" i="116"/>
  <c r="F81" i="116"/>
  <c r="E81" i="116"/>
  <c r="D81" i="116"/>
  <c r="N75" i="116"/>
  <c r="J75" i="116"/>
  <c r="H75" i="116"/>
  <c r="G75" i="116"/>
  <c r="F75" i="116"/>
  <c r="E75" i="116"/>
  <c r="D75" i="116"/>
  <c r="B75" i="116"/>
  <c r="O74" i="116"/>
  <c r="N74" i="116"/>
  <c r="M74" i="116"/>
  <c r="L74" i="116"/>
  <c r="K74" i="116"/>
  <c r="J74" i="116"/>
  <c r="I74" i="116"/>
  <c r="H74" i="116"/>
  <c r="G74" i="116"/>
  <c r="F74" i="116"/>
  <c r="E74" i="116"/>
  <c r="D74" i="116"/>
  <c r="B74" i="116"/>
  <c r="O73" i="116"/>
  <c r="N73" i="116"/>
  <c r="M73" i="116"/>
  <c r="L73" i="116"/>
  <c r="K73" i="116"/>
  <c r="J73" i="116"/>
  <c r="I73" i="116"/>
  <c r="H73" i="116"/>
  <c r="G73" i="116"/>
  <c r="F73" i="116"/>
  <c r="E73" i="116"/>
  <c r="D73" i="116"/>
  <c r="B73" i="116"/>
  <c r="O72" i="116"/>
  <c r="N72" i="116"/>
  <c r="M72" i="116"/>
  <c r="L72" i="116"/>
  <c r="K72" i="116"/>
  <c r="J72" i="116"/>
  <c r="I72" i="116"/>
  <c r="H72" i="116"/>
  <c r="G72" i="116"/>
  <c r="F72" i="116"/>
  <c r="E72" i="116"/>
  <c r="D72" i="116"/>
  <c r="B72" i="116"/>
  <c r="N71" i="116"/>
  <c r="J71" i="116"/>
  <c r="H71" i="116"/>
  <c r="G71" i="116"/>
  <c r="F71" i="116"/>
  <c r="E71" i="116"/>
  <c r="D71" i="116"/>
  <c r="B71" i="116"/>
  <c r="O70" i="116"/>
  <c r="N70" i="116"/>
  <c r="M70" i="116"/>
  <c r="L70" i="116"/>
  <c r="K70" i="116"/>
  <c r="J70" i="116"/>
  <c r="I70" i="116"/>
  <c r="H70" i="116"/>
  <c r="G70" i="116"/>
  <c r="F70" i="116"/>
  <c r="E70" i="116"/>
  <c r="D70" i="116"/>
  <c r="B70" i="116"/>
  <c r="O69" i="116"/>
  <c r="N69" i="116"/>
  <c r="M69" i="116"/>
  <c r="L69" i="116"/>
  <c r="K69" i="116"/>
  <c r="J69" i="116"/>
  <c r="I69" i="116"/>
  <c r="H69" i="116"/>
  <c r="G69" i="116"/>
  <c r="F69" i="116"/>
  <c r="E69" i="116"/>
  <c r="D69" i="116"/>
  <c r="J60" i="116"/>
  <c r="F60" i="116"/>
  <c r="B60" i="116"/>
  <c r="K59" i="116"/>
  <c r="I59" i="116"/>
  <c r="H59" i="116"/>
  <c r="G59" i="116"/>
  <c r="E59" i="116"/>
  <c r="D59" i="116"/>
  <c r="B59" i="116"/>
  <c r="K58" i="116"/>
  <c r="I58" i="116"/>
  <c r="H58" i="116"/>
  <c r="G58" i="116"/>
  <c r="E58" i="116"/>
  <c r="D58" i="116"/>
  <c r="B58" i="116"/>
  <c r="K57" i="116"/>
  <c r="I57" i="116"/>
  <c r="H57" i="116"/>
  <c r="G57" i="116"/>
  <c r="E57" i="116"/>
  <c r="D57" i="116"/>
  <c r="B57" i="116"/>
  <c r="B56" i="116"/>
  <c r="K55" i="116"/>
  <c r="I55" i="116"/>
  <c r="H55" i="116"/>
  <c r="G55" i="116"/>
  <c r="E55" i="116"/>
  <c r="D55" i="116"/>
  <c r="B55" i="116"/>
  <c r="K54" i="116"/>
  <c r="I54" i="116"/>
  <c r="H54" i="116"/>
  <c r="G54" i="116"/>
  <c r="E54" i="116"/>
  <c r="D54" i="116"/>
  <c r="N48" i="116"/>
  <c r="J48" i="116"/>
  <c r="H48" i="116"/>
  <c r="G48" i="116"/>
  <c r="F48" i="116"/>
  <c r="E48" i="116"/>
  <c r="D48" i="116"/>
  <c r="B48" i="116"/>
  <c r="O47" i="116"/>
  <c r="M47" i="116"/>
  <c r="L47" i="116"/>
  <c r="K47" i="116"/>
  <c r="I47" i="116"/>
  <c r="H47" i="116"/>
  <c r="G47" i="116"/>
  <c r="E47" i="116"/>
  <c r="B47" i="116"/>
  <c r="O46" i="116"/>
  <c r="M46" i="116"/>
  <c r="L46" i="116"/>
  <c r="K46" i="116"/>
  <c r="I46" i="116"/>
  <c r="H46" i="116"/>
  <c r="G46" i="116"/>
  <c r="E46" i="116"/>
  <c r="B46" i="116"/>
  <c r="O45" i="116"/>
  <c r="M45" i="116"/>
  <c r="L45" i="116"/>
  <c r="K45" i="116"/>
  <c r="I45" i="116"/>
  <c r="H45" i="116"/>
  <c r="G45" i="116"/>
  <c r="E45" i="116"/>
  <c r="B45" i="116"/>
  <c r="H44" i="116"/>
  <c r="G44" i="116"/>
  <c r="E44" i="116"/>
  <c r="B44" i="116"/>
  <c r="O43" i="116"/>
  <c r="M43" i="116"/>
  <c r="L43" i="116"/>
  <c r="K43" i="116"/>
  <c r="I43" i="116"/>
  <c r="H43" i="116"/>
  <c r="G43" i="116"/>
  <c r="E43" i="116"/>
  <c r="B43" i="116"/>
  <c r="O42" i="116"/>
  <c r="M42" i="116"/>
  <c r="L42" i="116"/>
  <c r="K42" i="116"/>
  <c r="I42" i="116"/>
  <c r="H42" i="116"/>
  <c r="G42" i="116"/>
  <c r="E42" i="116"/>
  <c r="J33" i="116"/>
  <c r="F33" i="116"/>
  <c r="B33" i="116"/>
  <c r="K32" i="116"/>
  <c r="H32" i="116"/>
  <c r="G32" i="116"/>
  <c r="D32" i="116"/>
  <c r="B32" i="116"/>
  <c r="K31" i="116"/>
  <c r="H31" i="116"/>
  <c r="G31" i="116"/>
  <c r="D31" i="116"/>
  <c r="B31" i="116"/>
  <c r="K30" i="116"/>
  <c r="H30" i="116"/>
  <c r="G30" i="116"/>
  <c r="D30" i="116"/>
  <c r="B30" i="116"/>
  <c r="B29" i="116"/>
  <c r="K28" i="116"/>
  <c r="H28" i="116"/>
  <c r="G28" i="116"/>
  <c r="D28" i="116"/>
  <c r="B28" i="116"/>
  <c r="K27" i="116"/>
  <c r="H27" i="116"/>
  <c r="G27" i="116"/>
  <c r="D27" i="116"/>
  <c r="N21" i="116"/>
  <c r="J21" i="116"/>
  <c r="H21" i="116"/>
  <c r="G21" i="116"/>
  <c r="F21" i="116"/>
  <c r="E21" i="116"/>
  <c r="D21" i="116"/>
  <c r="B21" i="116"/>
  <c r="O20" i="116"/>
  <c r="L20" i="116"/>
  <c r="K20" i="116"/>
  <c r="H20" i="116"/>
  <c r="G20" i="116"/>
  <c r="E20" i="116"/>
  <c r="B20" i="116"/>
  <c r="O19" i="116"/>
  <c r="L19" i="116"/>
  <c r="K19" i="116"/>
  <c r="H19" i="116"/>
  <c r="G19" i="116"/>
  <c r="E19" i="116"/>
  <c r="B19" i="116"/>
  <c r="O18" i="116"/>
  <c r="L18" i="116"/>
  <c r="K18" i="116"/>
  <c r="H18" i="116"/>
  <c r="G18" i="116"/>
  <c r="E18" i="116"/>
  <c r="B18" i="116"/>
  <c r="H17" i="116"/>
  <c r="G17" i="116"/>
  <c r="E17" i="116"/>
  <c r="B17" i="116"/>
  <c r="O16" i="116"/>
  <c r="L16" i="116"/>
  <c r="K16" i="116"/>
  <c r="H16" i="116"/>
  <c r="G16" i="116"/>
  <c r="B16" i="116"/>
  <c r="O15" i="116"/>
  <c r="L15" i="116"/>
  <c r="K15" i="116"/>
  <c r="H15" i="116"/>
  <c r="G15" i="116"/>
  <c r="J87" i="115"/>
  <c r="F87" i="115"/>
  <c r="B87" i="115"/>
  <c r="K86" i="115"/>
  <c r="J86" i="115"/>
  <c r="I86" i="115"/>
  <c r="H86" i="115"/>
  <c r="G86" i="115"/>
  <c r="F86" i="115"/>
  <c r="E86" i="115"/>
  <c r="D86" i="115"/>
  <c r="B86" i="115"/>
  <c r="K85" i="115"/>
  <c r="J85" i="115"/>
  <c r="I85" i="115"/>
  <c r="H85" i="115"/>
  <c r="G85" i="115"/>
  <c r="F85" i="115"/>
  <c r="E85" i="115"/>
  <c r="D85" i="115"/>
  <c r="B85" i="115"/>
  <c r="K84" i="115"/>
  <c r="J84" i="115"/>
  <c r="I84" i="115"/>
  <c r="H84" i="115"/>
  <c r="G84" i="115"/>
  <c r="F84" i="115"/>
  <c r="E84" i="115"/>
  <c r="D84" i="115"/>
  <c r="B84" i="115"/>
  <c r="J83" i="115"/>
  <c r="F83" i="115"/>
  <c r="B83" i="115"/>
  <c r="K82" i="115"/>
  <c r="J82" i="115"/>
  <c r="I82" i="115"/>
  <c r="H82" i="115"/>
  <c r="G82" i="115"/>
  <c r="F82" i="115"/>
  <c r="E82" i="115"/>
  <c r="D82" i="115"/>
  <c r="B82" i="115"/>
  <c r="K81" i="115"/>
  <c r="J81" i="115"/>
  <c r="I81" i="115"/>
  <c r="H81" i="115"/>
  <c r="G81" i="115"/>
  <c r="F81" i="115"/>
  <c r="E81" i="115"/>
  <c r="D81" i="115"/>
  <c r="N75" i="115"/>
  <c r="H75" i="115"/>
  <c r="G75" i="115"/>
  <c r="F75" i="115"/>
  <c r="E75" i="115"/>
  <c r="D75" i="115"/>
  <c r="B75" i="115"/>
  <c r="O74" i="115"/>
  <c r="N74" i="115"/>
  <c r="M74" i="115"/>
  <c r="L74" i="115"/>
  <c r="K74" i="115"/>
  <c r="J74" i="115"/>
  <c r="I74" i="115"/>
  <c r="H74" i="115"/>
  <c r="G74" i="115"/>
  <c r="F74" i="115"/>
  <c r="E74" i="115"/>
  <c r="D74" i="115"/>
  <c r="B74" i="115"/>
  <c r="O73" i="115"/>
  <c r="N73" i="115"/>
  <c r="M73" i="115"/>
  <c r="L73" i="115"/>
  <c r="K73" i="115"/>
  <c r="J73" i="115"/>
  <c r="I73" i="115"/>
  <c r="H73" i="115"/>
  <c r="G73" i="115"/>
  <c r="F73" i="115"/>
  <c r="E73" i="115"/>
  <c r="D73" i="115"/>
  <c r="B73" i="115"/>
  <c r="O72" i="115"/>
  <c r="N72" i="115"/>
  <c r="M72" i="115"/>
  <c r="L72" i="115"/>
  <c r="K72" i="115"/>
  <c r="J72" i="115"/>
  <c r="I72" i="115"/>
  <c r="H72" i="115"/>
  <c r="G72" i="115"/>
  <c r="F72" i="115"/>
  <c r="E72" i="115"/>
  <c r="D72" i="115"/>
  <c r="B72" i="115"/>
  <c r="N71" i="115"/>
  <c r="J71" i="115"/>
  <c r="J75" i="115" s="1"/>
  <c r="H71" i="115"/>
  <c r="G71" i="115"/>
  <c r="F71" i="115"/>
  <c r="E71" i="115"/>
  <c r="D71" i="115"/>
  <c r="B71" i="115"/>
  <c r="O70" i="115"/>
  <c r="N70" i="115"/>
  <c r="M70" i="115"/>
  <c r="L70" i="115"/>
  <c r="K70" i="115"/>
  <c r="J70" i="115"/>
  <c r="I70" i="115"/>
  <c r="H70" i="115"/>
  <c r="G70" i="115"/>
  <c r="F70" i="115"/>
  <c r="E70" i="115"/>
  <c r="D70" i="115"/>
  <c r="B70" i="115"/>
  <c r="O69" i="115"/>
  <c r="N69" i="115"/>
  <c r="M69" i="115"/>
  <c r="L69" i="115"/>
  <c r="K69" i="115"/>
  <c r="J69" i="115"/>
  <c r="I69" i="115"/>
  <c r="H69" i="115"/>
  <c r="G69" i="115"/>
  <c r="F69" i="115"/>
  <c r="E69" i="115"/>
  <c r="D69" i="115"/>
  <c r="J60" i="115"/>
  <c r="F60" i="115"/>
  <c r="B60" i="115"/>
  <c r="K59" i="115"/>
  <c r="I59" i="115"/>
  <c r="H59" i="115"/>
  <c r="G59" i="115"/>
  <c r="E59" i="115"/>
  <c r="D59" i="115"/>
  <c r="B59" i="115"/>
  <c r="K58" i="115"/>
  <c r="I58" i="115"/>
  <c r="H58" i="115"/>
  <c r="G58" i="115"/>
  <c r="E58" i="115"/>
  <c r="D58" i="115"/>
  <c r="B58" i="115"/>
  <c r="K57" i="115"/>
  <c r="I57" i="115"/>
  <c r="H57" i="115"/>
  <c r="G57" i="115"/>
  <c r="E57" i="115"/>
  <c r="D57" i="115"/>
  <c r="B57" i="115"/>
  <c r="B56" i="115"/>
  <c r="K55" i="115"/>
  <c r="I55" i="115"/>
  <c r="H55" i="115"/>
  <c r="G55" i="115"/>
  <c r="E55" i="115"/>
  <c r="D55" i="115"/>
  <c r="B55" i="115"/>
  <c r="K54" i="115"/>
  <c r="I54" i="115"/>
  <c r="H54" i="115"/>
  <c r="G54" i="115"/>
  <c r="E54" i="115"/>
  <c r="D54" i="115"/>
  <c r="N48" i="115"/>
  <c r="J48" i="115"/>
  <c r="H48" i="115"/>
  <c r="G48" i="115"/>
  <c r="F48" i="115"/>
  <c r="E48" i="115"/>
  <c r="D48" i="115"/>
  <c r="B48" i="115"/>
  <c r="O47" i="115"/>
  <c r="M47" i="115"/>
  <c r="L47" i="115"/>
  <c r="K47" i="115"/>
  <c r="I47" i="115"/>
  <c r="H47" i="115"/>
  <c r="G47" i="115"/>
  <c r="E47" i="115"/>
  <c r="B47" i="115"/>
  <c r="O46" i="115"/>
  <c r="M46" i="115"/>
  <c r="L46" i="115"/>
  <c r="K46" i="115"/>
  <c r="I46" i="115"/>
  <c r="H46" i="115"/>
  <c r="G46" i="115"/>
  <c r="E46" i="115"/>
  <c r="B46" i="115"/>
  <c r="O45" i="115"/>
  <c r="M45" i="115"/>
  <c r="L45" i="115"/>
  <c r="K45" i="115"/>
  <c r="I45" i="115"/>
  <c r="H45" i="115"/>
  <c r="G45" i="115"/>
  <c r="E45" i="115"/>
  <c r="B45" i="115"/>
  <c r="H44" i="115"/>
  <c r="G44" i="115"/>
  <c r="E44" i="115"/>
  <c r="B44" i="115"/>
  <c r="O43" i="115"/>
  <c r="M43" i="115"/>
  <c r="L43" i="115"/>
  <c r="K43" i="115"/>
  <c r="I43" i="115"/>
  <c r="H43" i="115"/>
  <c r="G43" i="115"/>
  <c r="E43" i="115"/>
  <c r="B43" i="115"/>
  <c r="O42" i="115"/>
  <c r="M42" i="115"/>
  <c r="L42" i="115"/>
  <c r="K42" i="115"/>
  <c r="I42" i="115"/>
  <c r="H42" i="115"/>
  <c r="G42" i="115"/>
  <c r="E42" i="115"/>
  <c r="E33" i="115"/>
  <c r="E29" i="115" s="1"/>
  <c r="B33" i="115"/>
  <c r="K32" i="115"/>
  <c r="H32" i="115"/>
  <c r="G32" i="115"/>
  <c r="D32" i="115"/>
  <c r="C32" i="115"/>
  <c r="B32" i="115"/>
  <c r="K31" i="115"/>
  <c r="H31" i="115"/>
  <c r="G31" i="115"/>
  <c r="D31" i="115"/>
  <c r="C31" i="115"/>
  <c r="B31" i="115"/>
  <c r="K30" i="115"/>
  <c r="H30" i="115"/>
  <c r="G30" i="115"/>
  <c r="D30" i="115"/>
  <c r="C30" i="115"/>
  <c r="B30" i="115"/>
  <c r="C29" i="115"/>
  <c r="B29" i="115"/>
  <c r="K28" i="115"/>
  <c r="H28" i="115"/>
  <c r="G28" i="115"/>
  <c r="D28" i="115"/>
  <c r="C28" i="115"/>
  <c r="B28" i="115"/>
  <c r="K27" i="115"/>
  <c r="H27" i="115"/>
  <c r="G27" i="115"/>
  <c r="D27" i="115"/>
  <c r="C27" i="115"/>
  <c r="N21" i="115"/>
  <c r="J21" i="115"/>
  <c r="H21" i="115"/>
  <c r="G21" i="115"/>
  <c r="F21" i="115"/>
  <c r="E21" i="115"/>
  <c r="D21" i="115"/>
  <c r="B21" i="115"/>
  <c r="O20" i="115"/>
  <c r="L20" i="115"/>
  <c r="K20" i="115"/>
  <c r="H20" i="115"/>
  <c r="G20" i="115"/>
  <c r="E20" i="115"/>
  <c r="B20" i="115"/>
  <c r="O19" i="115"/>
  <c r="L19" i="115"/>
  <c r="K19" i="115"/>
  <c r="H19" i="115"/>
  <c r="G19" i="115"/>
  <c r="E19" i="115"/>
  <c r="B19" i="115"/>
  <c r="O18" i="115"/>
  <c r="L18" i="115"/>
  <c r="K18" i="115"/>
  <c r="H18" i="115"/>
  <c r="G18" i="115"/>
  <c r="E18" i="115"/>
  <c r="B18" i="115"/>
  <c r="H17" i="115"/>
  <c r="G17" i="115"/>
  <c r="E17" i="115"/>
  <c r="B17" i="115"/>
  <c r="O16" i="115"/>
  <c r="L16" i="115"/>
  <c r="K16" i="115"/>
  <c r="H16" i="115"/>
  <c r="G16" i="115"/>
  <c r="B16" i="115"/>
  <c r="O15" i="115"/>
  <c r="L15" i="115"/>
  <c r="K15" i="115"/>
  <c r="H15" i="115"/>
  <c r="G15" i="115"/>
  <c r="J87" i="70"/>
  <c r="F87" i="70"/>
  <c r="B87" i="70"/>
  <c r="K86" i="70"/>
  <c r="J86" i="70"/>
  <c r="I86" i="70"/>
  <c r="H86" i="70"/>
  <c r="G86" i="70"/>
  <c r="F86" i="70"/>
  <c r="E86" i="70"/>
  <c r="D86" i="70"/>
  <c r="B86" i="70"/>
  <c r="K85" i="70"/>
  <c r="J85" i="70"/>
  <c r="I85" i="70"/>
  <c r="H85" i="70"/>
  <c r="G85" i="70"/>
  <c r="F85" i="70"/>
  <c r="E85" i="70"/>
  <c r="D85" i="70"/>
  <c r="B85" i="70"/>
  <c r="K84" i="70"/>
  <c r="J84" i="70"/>
  <c r="I84" i="70"/>
  <c r="H84" i="70"/>
  <c r="G84" i="70"/>
  <c r="F84" i="70"/>
  <c r="E84" i="70"/>
  <c r="D84" i="70"/>
  <c r="B84" i="70"/>
  <c r="J83" i="70"/>
  <c r="F83" i="70"/>
  <c r="B83" i="70"/>
  <c r="K82" i="70"/>
  <c r="J82" i="70"/>
  <c r="I82" i="70"/>
  <c r="H82" i="70"/>
  <c r="G82" i="70"/>
  <c r="F82" i="70"/>
  <c r="E82" i="70"/>
  <c r="D82" i="70"/>
  <c r="B82" i="70"/>
  <c r="K81" i="70"/>
  <c r="J81" i="70"/>
  <c r="I81" i="70"/>
  <c r="H81" i="70"/>
  <c r="G81" i="70"/>
  <c r="F81" i="70"/>
  <c r="E81" i="70"/>
  <c r="D81" i="70"/>
  <c r="N75" i="70"/>
  <c r="H75" i="70"/>
  <c r="G75" i="70"/>
  <c r="F75" i="70"/>
  <c r="E75" i="70"/>
  <c r="D75" i="70"/>
  <c r="B75" i="70"/>
  <c r="O74" i="70"/>
  <c r="N74" i="70"/>
  <c r="M74" i="70"/>
  <c r="L74" i="70"/>
  <c r="K74" i="70"/>
  <c r="J74" i="70"/>
  <c r="I74" i="70"/>
  <c r="H74" i="70"/>
  <c r="G74" i="70"/>
  <c r="F74" i="70"/>
  <c r="E74" i="70"/>
  <c r="D74" i="70"/>
  <c r="B74" i="70"/>
  <c r="O73" i="70"/>
  <c r="N73" i="70"/>
  <c r="M73" i="70"/>
  <c r="L73" i="70"/>
  <c r="K73" i="70"/>
  <c r="J73" i="70"/>
  <c r="I73" i="70"/>
  <c r="H73" i="70"/>
  <c r="G73" i="70"/>
  <c r="F73" i="70"/>
  <c r="E73" i="70"/>
  <c r="D73" i="70"/>
  <c r="B73" i="70"/>
  <c r="O72" i="70"/>
  <c r="N72" i="70"/>
  <c r="M72" i="70"/>
  <c r="L72" i="70"/>
  <c r="K72" i="70"/>
  <c r="J72" i="70"/>
  <c r="I72" i="70"/>
  <c r="H72" i="70"/>
  <c r="G72" i="70"/>
  <c r="F72" i="70"/>
  <c r="E72" i="70"/>
  <c r="D72" i="70"/>
  <c r="B72" i="70"/>
  <c r="N71" i="70"/>
  <c r="J71" i="70"/>
  <c r="J75" i="70" s="1"/>
  <c r="H71" i="70"/>
  <c r="G71" i="70"/>
  <c r="F71" i="70"/>
  <c r="E71" i="70"/>
  <c r="D71" i="70"/>
  <c r="B71" i="70"/>
  <c r="O70" i="70"/>
  <c r="N70" i="70"/>
  <c r="M70" i="70"/>
  <c r="L70" i="70"/>
  <c r="K70" i="70"/>
  <c r="J70" i="70"/>
  <c r="I70" i="70"/>
  <c r="H70" i="70"/>
  <c r="G70" i="70"/>
  <c r="F70" i="70"/>
  <c r="E70" i="70"/>
  <c r="D70" i="70"/>
  <c r="B70" i="70"/>
  <c r="O69" i="70"/>
  <c r="N69" i="70"/>
  <c r="M69" i="70"/>
  <c r="L69" i="70"/>
  <c r="K69" i="70"/>
  <c r="J69" i="70"/>
  <c r="I69" i="70"/>
  <c r="H69" i="70"/>
  <c r="G69" i="70"/>
  <c r="F69" i="70"/>
  <c r="E69" i="70"/>
  <c r="D69" i="70"/>
  <c r="J60" i="70"/>
  <c r="F60" i="70"/>
  <c r="B60" i="70"/>
  <c r="K59" i="70"/>
  <c r="J59" i="70"/>
  <c r="I59" i="70"/>
  <c r="H59" i="70"/>
  <c r="G59" i="70"/>
  <c r="F59" i="70"/>
  <c r="E59" i="70"/>
  <c r="D59" i="70"/>
  <c r="B59" i="70"/>
  <c r="K58" i="70"/>
  <c r="J58" i="70"/>
  <c r="I58" i="70"/>
  <c r="H58" i="70"/>
  <c r="G58" i="70"/>
  <c r="F58" i="70"/>
  <c r="E58" i="70"/>
  <c r="D58" i="70"/>
  <c r="B58" i="70"/>
  <c r="K57" i="70"/>
  <c r="J57" i="70"/>
  <c r="I57" i="70"/>
  <c r="H57" i="70"/>
  <c r="G57" i="70"/>
  <c r="F57" i="70"/>
  <c r="E57" i="70"/>
  <c r="D57" i="70"/>
  <c r="B57" i="70"/>
  <c r="J56" i="70"/>
  <c r="F56" i="70"/>
  <c r="B56" i="70"/>
  <c r="K55" i="70"/>
  <c r="J55" i="70"/>
  <c r="I55" i="70"/>
  <c r="H55" i="70"/>
  <c r="G55" i="70"/>
  <c r="F55" i="70"/>
  <c r="E55" i="70"/>
  <c r="D55" i="70"/>
  <c r="B55" i="70"/>
  <c r="K54" i="70"/>
  <c r="J54" i="70"/>
  <c r="I54" i="70"/>
  <c r="H54" i="70"/>
  <c r="G54" i="70"/>
  <c r="F54" i="70"/>
  <c r="E54" i="70"/>
  <c r="D54" i="70"/>
  <c r="N48" i="70"/>
  <c r="J48" i="70"/>
  <c r="H48" i="70"/>
  <c r="G48" i="70"/>
  <c r="F48" i="70"/>
  <c r="E48" i="70"/>
  <c r="D48" i="70"/>
  <c r="B48" i="70"/>
  <c r="O47" i="70"/>
  <c r="N47" i="70"/>
  <c r="M47" i="70"/>
  <c r="L47" i="70"/>
  <c r="K47" i="70"/>
  <c r="J47" i="70"/>
  <c r="I47" i="70"/>
  <c r="H47" i="70"/>
  <c r="G47" i="70"/>
  <c r="F47" i="70"/>
  <c r="E47" i="70"/>
  <c r="D47" i="70"/>
  <c r="B47" i="70"/>
  <c r="O46" i="70"/>
  <c r="N46" i="70"/>
  <c r="M46" i="70"/>
  <c r="L46" i="70"/>
  <c r="K46" i="70"/>
  <c r="J46" i="70"/>
  <c r="I46" i="70"/>
  <c r="H46" i="70"/>
  <c r="G46" i="70"/>
  <c r="F46" i="70"/>
  <c r="E46" i="70"/>
  <c r="D46" i="70"/>
  <c r="B46" i="70"/>
  <c r="O45" i="70"/>
  <c r="N45" i="70"/>
  <c r="M45" i="70"/>
  <c r="L45" i="70"/>
  <c r="K45" i="70"/>
  <c r="J45" i="70"/>
  <c r="I45" i="70"/>
  <c r="H45" i="70"/>
  <c r="G45" i="70"/>
  <c r="F45" i="70"/>
  <c r="E45" i="70"/>
  <c r="D45" i="70"/>
  <c r="B45" i="70"/>
  <c r="N44" i="70"/>
  <c r="J44" i="70"/>
  <c r="H44" i="70"/>
  <c r="G44" i="70"/>
  <c r="F44" i="70"/>
  <c r="E44" i="70"/>
  <c r="D44" i="70"/>
  <c r="B44" i="70"/>
  <c r="O43" i="70"/>
  <c r="N43" i="70"/>
  <c r="M43" i="70"/>
  <c r="L43" i="70"/>
  <c r="K43" i="70"/>
  <c r="J43" i="70"/>
  <c r="I43" i="70"/>
  <c r="H43" i="70"/>
  <c r="G43" i="70"/>
  <c r="F43" i="70"/>
  <c r="E43" i="70"/>
  <c r="D43" i="70"/>
  <c r="B43" i="70"/>
  <c r="O42" i="70"/>
  <c r="N42" i="70"/>
  <c r="M42" i="70"/>
  <c r="L42" i="70"/>
  <c r="K42" i="70"/>
  <c r="J42" i="70"/>
  <c r="I42" i="70"/>
  <c r="H42" i="70"/>
  <c r="G42" i="70"/>
  <c r="F42" i="70"/>
  <c r="E42" i="70"/>
  <c r="D42" i="70"/>
  <c r="J33" i="70"/>
  <c r="F33" i="70"/>
  <c r="B33" i="70"/>
  <c r="K32" i="70"/>
  <c r="J32" i="70"/>
  <c r="I32" i="70"/>
  <c r="H32" i="70"/>
  <c r="G32" i="70"/>
  <c r="F32" i="70"/>
  <c r="E32" i="70"/>
  <c r="D32" i="70"/>
  <c r="B32" i="70"/>
  <c r="K31" i="70"/>
  <c r="J31" i="70"/>
  <c r="I31" i="70"/>
  <c r="H31" i="70"/>
  <c r="G31" i="70"/>
  <c r="F31" i="70"/>
  <c r="E31" i="70"/>
  <c r="D31" i="70"/>
  <c r="B31" i="70"/>
  <c r="K30" i="70"/>
  <c r="J30" i="70"/>
  <c r="I30" i="70"/>
  <c r="H30" i="70"/>
  <c r="G30" i="70"/>
  <c r="F30" i="70"/>
  <c r="E30" i="70"/>
  <c r="D30" i="70"/>
  <c r="B30" i="70"/>
  <c r="J29" i="70"/>
  <c r="F29" i="70"/>
  <c r="B29" i="70"/>
  <c r="K28" i="70"/>
  <c r="J28" i="70"/>
  <c r="I28" i="70"/>
  <c r="H28" i="70"/>
  <c r="G28" i="70"/>
  <c r="F28" i="70"/>
  <c r="E28" i="70"/>
  <c r="D28" i="70"/>
  <c r="B28" i="70"/>
  <c r="K27" i="70"/>
  <c r="J27" i="70"/>
  <c r="I27" i="70"/>
  <c r="H27" i="70"/>
  <c r="G27" i="70"/>
  <c r="F27" i="70"/>
  <c r="E27" i="70"/>
  <c r="D27" i="70"/>
  <c r="N21" i="70"/>
  <c r="H21" i="70"/>
  <c r="G21" i="70"/>
  <c r="F21" i="70"/>
  <c r="E21" i="70"/>
  <c r="D21" i="70"/>
  <c r="B21" i="70"/>
  <c r="O20" i="70"/>
  <c r="N20" i="70"/>
  <c r="M20" i="70"/>
  <c r="L20" i="70"/>
  <c r="K20" i="70"/>
  <c r="J20" i="70"/>
  <c r="I20" i="70"/>
  <c r="H20" i="70"/>
  <c r="G20" i="70"/>
  <c r="F20" i="70"/>
  <c r="E20" i="70"/>
  <c r="D20" i="70"/>
  <c r="B20" i="70"/>
  <c r="O19" i="70"/>
  <c r="N19" i="70"/>
  <c r="M19" i="70"/>
  <c r="L19" i="70"/>
  <c r="K19" i="70"/>
  <c r="J19" i="70"/>
  <c r="I19" i="70"/>
  <c r="H19" i="70"/>
  <c r="G19" i="70"/>
  <c r="F19" i="70"/>
  <c r="E19" i="70"/>
  <c r="D19" i="70"/>
  <c r="B19" i="70"/>
  <c r="O18" i="70"/>
  <c r="N18" i="70"/>
  <c r="M18" i="70"/>
  <c r="L18" i="70"/>
  <c r="K18" i="70"/>
  <c r="J18" i="70"/>
  <c r="I18" i="70"/>
  <c r="H18" i="70"/>
  <c r="G18" i="70"/>
  <c r="F18" i="70"/>
  <c r="E18" i="70"/>
  <c r="D18" i="70"/>
  <c r="B18" i="70"/>
  <c r="N17" i="70"/>
  <c r="J17" i="70"/>
  <c r="J21" i="70" s="1"/>
  <c r="H17" i="70"/>
  <c r="G17" i="70"/>
  <c r="F17" i="70"/>
  <c r="E17" i="70"/>
  <c r="D17" i="70"/>
  <c r="B17" i="70"/>
  <c r="O16" i="70"/>
  <c r="N16" i="70"/>
  <c r="M16" i="70"/>
  <c r="L16" i="70"/>
  <c r="K16" i="70"/>
  <c r="J16" i="70"/>
  <c r="I16" i="70"/>
  <c r="H16" i="70"/>
  <c r="G16" i="70"/>
  <c r="F16" i="70"/>
  <c r="E16" i="70"/>
  <c r="D16" i="70"/>
  <c r="B16" i="70"/>
  <c r="O15" i="70"/>
  <c r="N15" i="70"/>
  <c r="M15" i="70"/>
  <c r="L15" i="70"/>
  <c r="K15" i="70"/>
  <c r="J15" i="70"/>
  <c r="I15" i="70"/>
  <c r="H15" i="70"/>
  <c r="G15" i="70"/>
  <c r="F15" i="70"/>
  <c r="E15" i="70"/>
  <c r="D15" i="70"/>
  <c r="P33" i="55"/>
  <c r="P35" i="55" s="1"/>
  <c r="Q30" i="120"/>
  <c r="P68" i="54"/>
  <c r="N30" i="120"/>
  <c r="K33" i="55"/>
  <c r="L30" i="120"/>
  <c r="K30" i="120"/>
  <c r="J30" i="120"/>
  <c r="I30" i="120"/>
  <c r="H30" i="120"/>
  <c r="H68" i="54" s="1"/>
  <c r="I68" i="54" s="1"/>
  <c r="G30" i="120"/>
  <c r="F30" i="120"/>
  <c r="D30" i="120"/>
  <c r="B29" i="120"/>
  <c r="B30" i="120" s="1"/>
  <c r="H28" i="120"/>
  <c r="H26" i="120" s="1"/>
  <c r="I26" i="120" s="1"/>
  <c r="E28" i="120"/>
  <c r="B28" i="120"/>
  <c r="P14" i="55"/>
  <c r="P16" i="55" s="1"/>
  <c r="P22" i="55" s="1"/>
  <c r="Q15" i="120"/>
  <c r="N14" i="55"/>
  <c r="N16" i="55" s="1"/>
  <c r="O15" i="120"/>
  <c r="N15" i="120"/>
  <c r="L15" i="120"/>
  <c r="K15" i="120"/>
  <c r="J15" i="120"/>
  <c r="I15" i="120"/>
  <c r="G15" i="120"/>
  <c r="D15" i="120"/>
  <c r="M14" i="120"/>
  <c r="M15" i="120" s="1"/>
  <c r="K14" i="55" s="1"/>
  <c r="K16" i="55" s="1"/>
  <c r="F14" i="120"/>
  <c r="H13" i="120"/>
  <c r="E13" i="120"/>
  <c r="E11" i="120" s="1"/>
  <c r="F11" i="120" s="1"/>
  <c r="B13" i="120"/>
  <c r="B14" i="120" s="1"/>
  <c r="B15" i="120" s="1"/>
  <c r="B29" i="69"/>
  <c r="B28" i="69"/>
  <c r="B27" i="69"/>
  <c r="B26" i="69"/>
  <c r="B25" i="69"/>
  <c r="F14" i="69"/>
  <c r="E14" i="69"/>
  <c r="E26" i="69" s="1"/>
  <c r="D14" i="69"/>
  <c r="D26" i="69" s="1"/>
  <c r="G13" i="69"/>
  <c r="G25" i="69" s="1"/>
  <c r="F13" i="69"/>
  <c r="F25" i="69" s="1"/>
  <c r="E13" i="69"/>
  <c r="E25" i="69" s="1"/>
  <c r="D13" i="69"/>
  <c r="D25" i="69" s="1"/>
  <c r="F12" i="69"/>
  <c r="E12" i="69"/>
  <c r="E24" i="69" s="1"/>
  <c r="E27" i="69" s="1"/>
  <c r="E29" i="69" s="1"/>
  <c r="D12" i="69"/>
  <c r="D24" i="69" s="1"/>
  <c r="F25" i="68"/>
  <c r="F49" i="68" s="1"/>
  <c r="E25" i="68"/>
  <c r="E49" i="68" s="1"/>
  <c r="D25" i="68"/>
  <c r="D49" i="68" s="1"/>
  <c r="F24" i="68"/>
  <c r="F48" i="68" s="1"/>
  <c r="E24" i="68"/>
  <c r="E48" i="68" s="1"/>
  <c r="D24" i="68"/>
  <c r="D48" i="68" s="1"/>
  <c r="F23" i="68"/>
  <c r="F47" i="68" s="1"/>
  <c r="E23" i="68"/>
  <c r="E47" i="68" s="1"/>
  <c r="D23" i="68"/>
  <c r="D47" i="68" s="1"/>
  <c r="F22" i="68"/>
  <c r="F46" i="68" s="1"/>
  <c r="E22" i="68"/>
  <c r="E46" i="68" s="1"/>
  <c r="D22" i="68"/>
  <c r="D46" i="68" s="1"/>
  <c r="F21" i="68"/>
  <c r="F45" i="68" s="1"/>
  <c r="E21" i="68"/>
  <c r="E45" i="68" s="1"/>
  <c r="D21" i="68"/>
  <c r="D45" i="68" s="1"/>
  <c r="F20" i="68"/>
  <c r="F44" i="68" s="1"/>
  <c r="E20" i="68"/>
  <c r="E44" i="68" s="1"/>
  <c r="D20" i="68"/>
  <c r="D44" i="68" s="1"/>
  <c r="F19" i="68"/>
  <c r="F43" i="68" s="1"/>
  <c r="E19" i="68"/>
  <c r="E43" i="68" s="1"/>
  <c r="D19" i="68"/>
  <c r="D43" i="68" s="1"/>
  <c r="F18" i="68"/>
  <c r="F42" i="68" s="1"/>
  <c r="E18" i="68"/>
  <c r="E42" i="68" s="1"/>
  <c r="D18" i="68"/>
  <c r="D42" i="68" s="1"/>
  <c r="F17" i="68"/>
  <c r="F41" i="68" s="1"/>
  <c r="E17" i="68"/>
  <c r="E41" i="68" s="1"/>
  <c r="D17" i="68"/>
  <c r="D41" i="68" s="1"/>
  <c r="F16" i="68"/>
  <c r="F40" i="68" s="1"/>
  <c r="E16" i="68"/>
  <c r="E40" i="68" s="1"/>
  <c r="D16" i="68"/>
  <c r="D40" i="68" s="1"/>
  <c r="F15" i="68"/>
  <c r="F39" i="68" s="1"/>
  <c r="E15" i="68"/>
  <c r="E39" i="68" s="1"/>
  <c r="D15" i="68"/>
  <c r="D39" i="68" s="1"/>
  <c r="F14" i="68"/>
  <c r="F38" i="68" s="1"/>
  <c r="E14" i="68"/>
  <c r="E38" i="68" s="1"/>
  <c r="D14" i="68"/>
  <c r="D38" i="68" s="1"/>
  <c r="F13" i="68"/>
  <c r="F37" i="68" s="1"/>
  <c r="E13" i="68"/>
  <c r="E37" i="68" s="1"/>
  <c r="D13" i="68"/>
  <c r="D37" i="68" s="1"/>
  <c r="F12" i="68"/>
  <c r="F36" i="68" s="1"/>
  <c r="E12" i="68"/>
  <c r="E36" i="68" s="1"/>
  <c r="D12" i="68"/>
  <c r="D36" i="68" s="1"/>
  <c r="F11" i="68"/>
  <c r="F35" i="68" s="1"/>
  <c r="E11" i="68"/>
  <c r="D11" i="68"/>
  <c r="B75" i="67"/>
  <c r="B76" i="67" s="1"/>
  <c r="B70" i="67"/>
  <c r="B71" i="67" s="1"/>
  <c r="B72" i="67" s="1"/>
  <c r="B73" i="67" s="1"/>
  <c r="B65" i="67"/>
  <c r="B66" i="67" s="1"/>
  <c r="B67" i="67" s="1"/>
  <c r="B68" i="67" s="1"/>
  <c r="B60" i="67"/>
  <c r="B61" i="67" s="1"/>
  <c r="B62" i="67" s="1"/>
  <c r="B63" i="67" s="1"/>
  <c r="B45" i="67"/>
  <c r="B46" i="67" s="1"/>
  <c r="B42" i="67"/>
  <c r="B43" i="67" s="1"/>
  <c r="B37" i="67"/>
  <c r="B38" i="67" s="1"/>
  <c r="B39" i="67" s="1"/>
  <c r="B40" i="67" s="1"/>
  <c r="B32" i="67"/>
  <c r="B33" i="67" s="1"/>
  <c r="B34" i="67" s="1"/>
  <c r="B35" i="67" s="1"/>
  <c r="F12" i="67"/>
  <c r="F18" i="67" s="1"/>
  <c r="E12" i="67"/>
  <c r="E18" i="67" s="1"/>
  <c r="D12" i="67"/>
  <c r="D18" i="67" s="1"/>
  <c r="F26" i="65" s="1"/>
  <c r="B28" i="66"/>
  <c r="B27" i="66"/>
  <c r="B26" i="66"/>
  <c r="B25" i="66"/>
  <c r="B24" i="66"/>
  <c r="B16" i="66"/>
  <c r="B15" i="66"/>
  <c r="B14" i="66"/>
  <c r="B13" i="66"/>
  <c r="B12" i="66"/>
  <c r="R29" i="65"/>
  <c r="P29" i="65"/>
  <c r="K29" i="65"/>
  <c r="H29" i="65"/>
  <c r="B29" i="65"/>
  <c r="B28" i="65"/>
  <c r="B27" i="65"/>
  <c r="B26" i="65"/>
  <c r="R16" i="65"/>
  <c r="P16" i="65"/>
  <c r="K16" i="65"/>
  <c r="H16" i="65"/>
  <c r="B16" i="65"/>
  <c r="B15" i="65"/>
  <c r="B14" i="65"/>
  <c r="L13" i="65"/>
  <c r="B13" i="65"/>
  <c r="F39" i="92"/>
  <c r="F38" i="92"/>
  <c r="F34" i="92"/>
  <c r="F33" i="92"/>
  <c r="F32" i="92"/>
  <c r="F20" i="92"/>
  <c r="E20" i="92"/>
  <c r="F15" i="92"/>
  <c r="F14" i="92"/>
  <c r="F13" i="92"/>
  <c r="R12" i="107"/>
  <c r="P12" i="107"/>
  <c r="N12" i="107"/>
  <c r="M12" i="107"/>
  <c r="L12" i="107"/>
  <c r="K12" i="107"/>
  <c r="I12" i="107"/>
  <c r="H12" i="107"/>
  <c r="F12" i="107"/>
  <c r="M11" i="107"/>
  <c r="N11" i="107" s="1"/>
  <c r="I11" i="107"/>
  <c r="F11" i="107"/>
  <c r="Q191" i="117"/>
  <c r="P191" i="117"/>
  <c r="O191" i="117"/>
  <c r="N191" i="117"/>
  <c r="M191" i="117"/>
  <c r="L191" i="117"/>
  <c r="K191" i="117"/>
  <c r="J191" i="117"/>
  <c r="I191" i="117"/>
  <c r="H191" i="117"/>
  <c r="G191" i="117"/>
  <c r="F191" i="117"/>
  <c r="E191" i="117"/>
  <c r="Q190" i="117"/>
  <c r="P190" i="117"/>
  <c r="O190" i="117"/>
  <c r="N190" i="117"/>
  <c r="M190" i="117"/>
  <c r="L190" i="117"/>
  <c r="K190" i="117"/>
  <c r="J190" i="117"/>
  <c r="I190" i="117"/>
  <c r="H190" i="117"/>
  <c r="G190" i="117"/>
  <c r="F190" i="117"/>
  <c r="E190" i="117"/>
  <c r="C190" i="117"/>
  <c r="Q189" i="117"/>
  <c r="P189" i="117"/>
  <c r="O189" i="117"/>
  <c r="N189" i="117"/>
  <c r="M189" i="117"/>
  <c r="L189" i="117"/>
  <c r="K189" i="117"/>
  <c r="J189" i="117"/>
  <c r="I189" i="117"/>
  <c r="H189" i="117"/>
  <c r="G189" i="117"/>
  <c r="F189" i="117"/>
  <c r="E189" i="117"/>
  <c r="C189" i="117"/>
  <c r="Q183" i="117"/>
  <c r="P183" i="117"/>
  <c r="O183" i="117"/>
  <c r="N183" i="117"/>
  <c r="M183" i="117"/>
  <c r="L183" i="117"/>
  <c r="K183" i="117"/>
  <c r="J183" i="117"/>
  <c r="I183" i="117"/>
  <c r="H183" i="117"/>
  <c r="G183" i="117"/>
  <c r="F183" i="117"/>
  <c r="E183" i="117"/>
  <c r="Q182" i="117"/>
  <c r="P182" i="117"/>
  <c r="O182" i="117"/>
  <c r="N182" i="117"/>
  <c r="M182" i="117"/>
  <c r="L182" i="117"/>
  <c r="K182" i="117"/>
  <c r="J182" i="117"/>
  <c r="I182" i="117"/>
  <c r="H182" i="117"/>
  <c r="G182" i="117"/>
  <c r="F182" i="117"/>
  <c r="E182" i="117"/>
  <c r="C182" i="117"/>
  <c r="Q181" i="117"/>
  <c r="P181" i="117"/>
  <c r="O181" i="117"/>
  <c r="N181" i="117"/>
  <c r="M181" i="117"/>
  <c r="L181" i="117"/>
  <c r="K181" i="117"/>
  <c r="J181" i="117"/>
  <c r="I181" i="117"/>
  <c r="H181" i="117"/>
  <c r="G181" i="117"/>
  <c r="F181" i="117"/>
  <c r="E181" i="117"/>
  <c r="C181" i="117"/>
  <c r="P174" i="117"/>
  <c r="O174" i="117"/>
  <c r="N174" i="117"/>
  <c r="M174" i="117"/>
  <c r="L174" i="117"/>
  <c r="K174" i="117"/>
  <c r="C174" i="117"/>
  <c r="P173" i="117"/>
  <c r="P175" i="117" s="1"/>
  <c r="O173" i="117"/>
  <c r="N173" i="117"/>
  <c r="M173" i="117"/>
  <c r="L173" i="117"/>
  <c r="K173" i="117"/>
  <c r="C173" i="117"/>
  <c r="G166" i="117"/>
  <c r="F166" i="117"/>
  <c r="E166" i="117"/>
  <c r="C165" i="117"/>
  <c r="C164" i="117"/>
  <c r="Q162" i="117"/>
  <c r="G162" i="117"/>
  <c r="F162" i="117"/>
  <c r="E162" i="117"/>
  <c r="C162" i="117"/>
  <c r="Q156" i="117"/>
  <c r="P156" i="117"/>
  <c r="O156" i="117"/>
  <c r="N156" i="117"/>
  <c r="M156" i="117"/>
  <c r="L156" i="117"/>
  <c r="K156" i="117"/>
  <c r="J156" i="117"/>
  <c r="I156" i="117"/>
  <c r="H156" i="117"/>
  <c r="G156" i="117"/>
  <c r="F156" i="117"/>
  <c r="E156" i="117"/>
  <c r="Q155" i="117"/>
  <c r="P155" i="117"/>
  <c r="O155" i="117"/>
  <c r="C155" i="117"/>
  <c r="Q154" i="117"/>
  <c r="N154" i="117"/>
  <c r="C154" i="117"/>
  <c r="Q153" i="117"/>
  <c r="M153" i="117"/>
  <c r="L153" i="117"/>
  <c r="K153" i="117"/>
  <c r="J153" i="117"/>
  <c r="I153" i="117"/>
  <c r="H153" i="117"/>
  <c r="C153" i="117"/>
  <c r="Q152" i="117"/>
  <c r="G152" i="117"/>
  <c r="F152" i="117"/>
  <c r="E152" i="117"/>
  <c r="C152" i="117"/>
  <c r="C144" i="117"/>
  <c r="C143" i="117"/>
  <c r="C142" i="117"/>
  <c r="C141" i="117"/>
  <c r="C140" i="117"/>
  <c r="G138" i="117"/>
  <c r="Q122" i="117"/>
  <c r="Q120" i="117"/>
  <c r="P120" i="117"/>
  <c r="O120" i="117"/>
  <c r="N120" i="117"/>
  <c r="M120" i="117"/>
  <c r="L120" i="117"/>
  <c r="K120" i="117"/>
  <c r="J120" i="117"/>
  <c r="I120" i="117"/>
  <c r="H120" i="117"/>
  <c r="G120" i="117"/>
  <c r="F120" i="117"/>
  <c r="Q119" i="117"/>
  <c r="P119" i="117"/>
  <c r="O119" i="117"/>
  <c r="N119" i="117"/>
  <c r="M119" i="117"/>
  <c r="L119" i="117"/>
  <c r="K119" i="117"/>
  <c r="J119" i="117"/>
  <c r="I119" i="117"/>
  <c r="H119" i="117"/>
  <c r="G119" i="117"/>
  <c r="F119" i="117"/>
  <c r="F114" i="117"/>
  <c r="G114" i="117" s="1"/>
  <c r="H114" i="117" s="1"/>
  <c r="I114" i="117" s="1"/>
  <c r="J114" i="117" s="1"/>
  <c r="K114" i="117" s="1"/>
  <c r="L114" i="117" s="1"/>
  <c r="M114" i="117" s="1"/>
  <c r="N114" i="117" s="1"/>
  <c r="O114" i="117" s="1"/>
  <c r="P114" i="117" s="1"/>
  <c r="Q102" i="117"/>
  <c r="Q100" i="117"/>
  <c r="P100" i="117"/>
  <c r="O100" i="117"/>
  <c r="N100" i="117"/>
  <c r="M100" i="117"/>
  <c r="L100" i="117"/>
  <c r="K100" i="117"/>
  <c r="J100" i="117"/>
  <c r="I100" i="117"/>
  <c r="H100" i="117"/>
  <c r="G100" i="117"/>
  <c r="F100" i="117"/>
  <c r="Q99" i="117"/>
  <c r="P99" i="117"/>
  <c r="O99" i="117"/>
  <c r="N99" i="117"/>
  <c r="M99" i="117"/>
  <c r="L99" i="117"/>
  <c r="K99" i="117"/>
  <c r="J99" i="117"/>
  <c r="I99" i="117"/>
  <c r="H99" i="117"/>
  <c r="G99" i="117"/>
  <c r="P94" i="117"/>
  <c r="O94" i="117"/>
  <c r="N94" i="117"/>
  <c r="M94" i="117"/>
  <c r="L94" i="117"/>
  <c r="K94" i="117"/>
  <c r="J94" i="117"/>
  <c r="I94" i="117"/>
  <c r="H94" i="117"/>
  <c r="G94" i="117"/>
  <c r="F94" i="117"/>
  <c r="E94" i="117"/>
  <c r="I148" i="82"/>
  <c r="P60" i="117"/>
  <c r="P165" i="117" s="1"/>
  <c r="L60" i="117"/>
  <c r="L165" i="117" s="1"/>
  <c r="K60" i="117"/>
  <c r="K165" i="117" s="1"/>
  <c r="I60" i="117"/>
  <c r="I165" i="117" s="1"/>
  <c r="H60" i="117"/>
  <c r="H165" i="117" s="1"/>
  <c r="Q57" i="117"/>
  <c r="P57" i="117"/>
  <c r="O57" i="117"/>
  <c r="N57" i="117"/>
  <c r="M57" i="117"/>
  <c r="L57" i="117"/>
  <c r="K57" i="117"/>
  <c r="J57" i="117"/>
  <c r="I57" i="117"/>
  <c r="H57" i="117"/>
  <c r="G57" i="117"/>
  <c r="F57" i="117"/>
  <c r="E57" i="117"/>
  <c r="Q55" i="117"/>
  <c r="Q48" i="117"/>
  <c r="Q37" i="117"/>
  <c r="P37" i="117"/>
  <c r="O37" i="117"/>
  <c r="N37" i="117"/>
  <c r="M37" i="117"/>
  <c r="L37" i="117"/>
  <c r="K37" i="117"/>
  <c r="J37" i="117"/>
  <c r="I37" i="117"/>
  <c r="H37" i="117"/>
  <c r="G37" i="117"/>
  <c r="F37" i="117"/>
  <c r="E37" i="117"/>
  <c r="Q36" i="117"/>
  <c r="Q35" i="117"/>
  <c r="P35" i="117"/>
  <c r="O35" i="117"/>
  <c r="N35" i="117"/>
  <c r="M35" i="117"/>
  <c r="L35" i="117"/>
  <c r="K35" i="117"/>
  <c r="J35" i="117"/>
  <c r="I35" i="117"/>
  <c r="H35" i="117"/>
  <c r="G35" i="117"/>
  <c r="F35" i="117"/>
  <c r="E35" i="117"/>
  <c r="Q33" i="117"/>
  <c r="Q31" i="117"/>
  <c r="P31" i="117"/>
  <c r="O31" i="117"/>
  <c r="N31" i="117"/>
  <c r="M31" i="117"/>
  <c r="L31" i="117"/>
  <c r="K31" i="117"/>
  <c r="J31" i="117"/>
  <c r="I31" i="117"/>
  <c r="H31" i="117"/>
  <c r="G31" i="117"/>
  <c r="F31" i="117"/>
  <c r="E31" i="117"/>
  <c r="Q29" i="117"/>
  <c r="Q27" i="117"/>
  <c r="Q26" i="117"/>
  <c r="P26" i="117"/>
  <c r="O26" i="117"/>
  <c r="N26" i="117"/>
  <c r="M26" i="117"/>
  <c r="L26" i="117"/>
  <c r="K26" i="117"/>
  <c r="J26" i="117"/>
  <c r="I26" i="117"/>
  <c r="H26" i="117"/>
  <c r="G26" i="117"/>
  <c r="F26" i="117"/>
  <c r="E26" i="117"/>
  <c r="Q24" i="117"/>
  <c r="Q17" i="117"/>
  <c r="G164" i="82"/>
  <c r="G162" i="82"/>
  <c r="L142" i="126" s="1"/>
  <c r="G161" i="82"/>
  <c r="L141" i="126" s="1"/>
  <c r="N151" i="82"/>
  <c r="Q151" i="82" s="1"/>
  <c r="R151" i="82" s="1"/>
  <c r="I151" i="82"/>
  <c r="J151" i="82" s="1"/>
  <c r="I150" i="82"/>
  <c r="I149" i="82"/>
  <c r="G145" i="82"/>
  <c r="N145" i="82" s="1"/>
  <c r="Q145" i="82" s="1"/>
  <c r="R145" i="82" s="1"/>
  <c r="I144" i="82"/>
  <c r="G144" i="82"/>
  <c r="N144" i="82" s="1"/>
  <c r="Q134" i="82"/>
  <c r="G132" i="82"/>
  <c r="Q131" i="82"/>
  <c r="G130" i="82"/>
  <c r="K142" i="126" s="1"/>
  <c r="G129" i="82"/>
  <c r="K141" i="126" s="1"/>
  <c r="N119" i="82"/>
  <c r="Q119" i="82" s="1"/>
  <c r="I119" i="82"/>
  <c r="I118" i="82"/>
  <c r="I117" i="82"/>
  <c r="I116" i="82"/>
  <c r="I113" i="82"/>
  <c r="G113" i="82"/>
  <c r="N113" i="82" s="1"/>
  <c r="Q113" i="82" s="1"/>
  <c r="R113" i="82" s="1"/>
  <c r="G112" i="82"/>
  <c r="Q112" i="82" s="1"/>
  <c r="R112" i="82" s="1"/>
  <c r="N87" i="82"/>
  <c r="Q87" i="82" s="1"/>
  <c r="R87" i="82" s="1"/>
  <c r="I87" i="82"/>
  <c r="J87" i="82" s="1"/>
  <c r="I86" i="82"/>
  <c r="I85" i="82"/>
  <c r="Q83" i="82"/>
  <c r="I83" i="82"/>
  <c r="Q82" i="82"/>
  <c r="I81" i="82"/>
  <c r="G81" i="82"/>
  <c r="N81" i="82" s="1"/>
  <c r="Q81" i="82" s="1"/>
  <c r="R81" i="82" s="1"/>
  <c r="I80" i="82"/>
  <c r="G80" i="82"/>
  <c r="Q69" i="82"/>
  <c r="G66" i="82"/>
  <c r="B66" i="82"/>
  <c r="B63" i="82"/>
  <c r="B46" i="82" s="1"/>
  <c r="B62" i="82"/>
  <c r="J52" i="82"/>
  <c r="I51" i="82"/>
  <c r="J50" i="82"/>
  <c r="J49" i="82"/>
  <c r="J48" i="82"/>
  <c r="I47" i="82"/>
  <c r="J47" i="82" s="1"/>
  <c r="I46" i="82"/>
  <c r="G46" i="82"/>
  <c r="N46" i="82" s="1"/>
  <c r="Q46" i="82" s="1"/>
  <c r="R46" i="82" s="1"/>
  <c r="I45" i="82"/>
  <c r="G45" i="82"/>
  <c r="J45" i="82" s="1"/>
  <c r="B45" i="82"/>
  <c r="Q44" i="82"/>
  <c r="R44" i="82" s="1"/>
  <c r="I44" i="82"/>
  <c r="J44" i="82" s="1"/>
  <c r="J33" i="82"/>
  <c r="I33" i="82"/>
  <c r="J32" i="82"/>
  <c r="R32" i="82" s="1"/>
  <c r="I32" i="82"/>
  <c r="F32" i="82"/>
  <c r="J31" i="82"/>
  <c r="R31" i="82" s="1"/>
  <c r="I31" i="82"/>
  <c r="G31" i="82" s="1"/>
  <c r="F31" i="82"/>
  <c r="J30" i="82"/>
  <c r="I30" i="82"/>
  <c r="F30" i="82"/>
  <c r="J29" i="82"/>
  <c r="F29" i="82"/>
  <c r="Q20" i="82"/>
  <c r="Q22" i="82" s="1"/>
  <c r="J20" i="82"/>
  <c r="R16" i="82"/>
  <c r="R15" i="82"/>
  <c r="R14" i="82"/>
  <c r="R13" i="82"/>
  <c r="A47" i="122"/>
  <c r="A46" i="122"/>
  <c r="A45" i="122"/>
  <c r="A43" i="122"/>
  <c r="A42" i="122"/>
  <c r="A41" i="122"/>
  <c r="A40" i="122"/>
  <c r="H37" i="122"/>
  <c r="F37" i="122"/>
  <c r="A34" i="122"/>
  <c r="A33" i="122"/>
  <c r="A32" i="122"/>
  <c r="M29" i="122"/>
  <c r="K29" i="122"/>
  <c r="E26" i="122"/>
  <c r="M24" i="122"/>
  <c r="L24" i="122"/>
  <c r="K24" i="122"/>
  <c r="J24" i="122"/>
  <c r="F24" i="122"/>
  <c r="E24" i="122"/>
  <c r="M23" i="122"/>
  <c r="L23" i="122"/>
  <c r="K23" i="122"/>
  <c r="J23" i="122"/>
  <c r="F23" i="122"/>
  <c r="E23" i="122"/>
  <c r="K22" i="122"/>
  <c r="E22" i="122"/>
  <c r="E20" i="122"/>
  <c r="M17" i="122"/>
  <c r="K17" i="122"/>
  <c r="E17" i="122"/>
  <c r="D17" i="122"/>
  <c r="M16" i="122"/>
  <c r="K16" i="122"/>
  <c r="G16" i="122"/>
  <c r="E16" i="122"/>
  <c r="D16" i="122"/>
  <c r="M15" i="122"/>
  <c r="K15" i="122"/>
  <c r="I15" i="122"/>
  <c r="E15" i="122"/>
  <c r="M14" i="122"/>
  <c r="L14" i="122"/>
  <c r="K14" i="122"/>
  <c r="J14" i="122"/>
  <c r="H14" i="122"/>
  <c r="F14" i="122"/>
  <c r="E14" i="122"/>
  <c r="D14" i="122"/>
  <c r="M13" i="122"/>
  <c r="K13" i="122"/>
  <c r="M12" i="122"/>
  <c r="K12" i="122"/>
  <c r="G11" i="122"/>
  <c r="E11" i="122"/>
  <c r="I10" i="122"/>
  <c r="E10" i="122"/>
  <c r="E9" i="122"/>
  <c r="D38" i="90"/>
  <c r="N32" i="90"/>
  <c r="M32" i="90"/>
  <c r="J32" i="90"/>
  <c r="J37" i="122" s="1"/>
  <c r="L37" i="122" s="1"/>
  <c r="D32" i="90"/>
  <c r="N25" i="90"/>
  <c r="M25" i="90"/>
  <c r="L25" i="90"/>
  <c r="N19" i="90"/>
  <c r="M19" i="90"/>
  <c r="L19" i="90"/>
  <c r="D19" i="90"/>
  <c r="N12" i="90"/>
  <c r="M12" i="90"/>
  <c r="E12" i="90"/>
  <c r="D12" i="90"/>
  <c r="B143" i="127"/>
  <c r="B142" i="127"/>
  <c r="B141" i="127"/>
  <c r="B140" i="127"/>
  <c r="B139" i="127"/>
  <c r="B138" i="127"/>
  <c r="B137" i="127"/>
  <c r="B136" i="127"/>
  <c r="B135" i="127"/>
  <c r="B128" i="127"/>
  <c r="B127" i="127"/>
  <c r="B126" i="127"/>
  <c r="B125" i="127"/>
  <c r="B124" i="127"/>
  <c r="B123" i="127"/>
  <c r="B122" i="127"/>
  <c r="B121" i="127"/>
  <c r="B120" i="127"/>
  <c r="B108" i="127"/>
  <c r="B107" i="127"/>
  <c r="B106" i="127"/>
  <c r="B105" i="127"/>
  <c r="B104" i="127"/>
  <c r="B103" i="127"/>
  <c r="B102" i="127"/>
  <c r="B101" i="127"/>
  <c r="B100" i="127"/>
  <c r="B87" i="127"/>
  <c r="B86" i="127"/>
  <c r="B85" i="127"/>
  <c r="B84" i="127"/>
  <c r="B83" i="127"/>
  <c r="B39" i="127" s="1"/>
  <c r="B82" i="127"/>
  <c r="B38" i="127" s="1"/>
  <c r="B81" i="127"/>
  <c r="B80" i="127"/>
  <c r="B34" i="127" s="1"/>
  <c r="B79" i="127"/>
  <c r="B33" i="127" s="1"/>
  <c r="B69" i="127"/>
  <c r="B68" i="127"/>
  <c r="B67" i="127"/>
  <c r="B21" i="127" s="1"/>
  <c r="B66" i="127"/>
  <c r="B20" i="127" s="1"/>
  <c r="B65" i="127"/>
  <c r="B19" i="127" s="1"/>
  <c r="B64" i="127"/>
  <c r="B63" i="127"/>
  <c r="B17" i="127" s="1"/>
  <c r="B62" i="127"/>
  <c r="B14" i="127" s="1"/>
  <c r="B61" i="127"/>
  <c r="B13" i="127" s="1"/>
  <c r="B60" i="127"/>
  <c r="E45" i="127"/>
  <c r="B43" i="127"/>
  <c r="B42" i="127"/>
  <c r="B41" i="127"/>
  <c r="B40" i="127"/>
  <c r="F39" i="127"/>
  <c r="C39" i="127"/>
  <c r="B35" i="127"/>
  <c r="E24" i="127"/>
  <c r="B22" i="127"/>
  <c r="B18" i="127"/>
  <c r="E17" i="127"/>
  <c r="E16" i="127"/>
  <c r="B12" i="127"/>
  <c r="B141" i="88"/>
  <c r="B140" i="88"/>
  <c r="B139" i="88"/>
  <c r="B138" i="88"/>
  <c r="B137" i="88"/>
  <c r="B136" i="88"/>
  <c r="G134" i="88"/>
  <c r="C134" i="88"/>
  <c r="B134" i="88"/>
  <c r="B133" i="88"/>
  <c r="L126" i="88"/>
  <c r="H126" i="88"/>
  <c r="G126" i="88"/>
  <c r="F126" i="88"/>
  <c r="E126" i="88"/>
  <c r="D126" i="88"/>
  <c r="C126" i="88"/>
  <c r="B126" i="88"/>
  <c r="H125" i="88"/>
  <c r="G125" i="88"/>
  <c r="F125" i="88"/>
  <c r="E125" i="88"/>
  <c r="D125" i="88"/>
  <c r="C125" i="88"/>
  <c r="B125" i="88"/>
  <c r="H124" i="88"/>
  <c r="G124" i="88"/>
  <c r="F124" i="88"/>
  <c r="E124" i="88"/>
  <c r="D124" i="88"/>
  <c r="C124" i="88"/>
  <c r="B124" i="88"/>
  <c r="H123" i="88"/>
  <c r="G123" i="88"/>
  <c r="F123" i="88"/>
  <c r="E123" i="88"/>
  <c r="D123" i="88"/>
  <c r="C123" i="88"/>
  <c r="B123" i="88"/>
  <c r="B122" i="88"/>
  <c r="B121" i="88"/>
  <c r="H120" i="88"/>
  <c r="G120" i="88"/>
  <c r="F120" i="88"/>
  <c r="E120" i="88"/>
  <c r="D120" i="88"/>
  <c r="C120" i="88"/>
  <c r="B120" i="88"/>
  <c r="I119" i="88"/>
  <c r="H119" i="88"/>
  <c r="G119" i="88"/>
  <c r="F119" i="88"/>
  <c r="E119" i="88"/>
  <c r="D119" i="88"/>
  <c r="C119" i="88"/>
  <c r="B119" i="88"/>
  <c r="B118" i="88"/>
  <c r="H105" i="88"/>
  <c r="G105" i="88"/>
  <c r="F105" i="88"/>
  <c r="E105" i="88"/>
  <c r="D105" i="88"/>
  <c r="C105" i="88"/>
  <c r="B105" i="88"/>
  <c r="H104" i="88"/>
  <c r="G104" i="88"/>
  <c r="F104" i="88"/>
  <c r="E104" i="88"/>
  <c r="D104" i="88"/>
  <c r="C104" i="88"/>
  <c r="B104" i="88"/>
  <c r="H103" i="88"/>
  <c r="G103" i="88"/>
  <c r="F103" i="88"/>
  <c r="E103" i="88"/>
  <c r="D103" i="88"/>
  <c r="C103" i="88"/>
  <c r="B103" i="88"/>
  <c r="H102" i="88"/>
  <c r="G102" i="88"/>
  <c r="F102" i="88"/>
  <c r="E102" i="88"/>
  <c r="D102" i="88"/>
  <c r="C102" i="88"/>
  <c r="B102" i="88"/>
  <c r="H101" i="88"/>
  <c r="G101" i="88"/>
  <c r="F101" i="88"/>
  <c r="E101" i="88"/>
  <c r="D101" i="88"/>
  <c r="C101" i="88"/>
  <c r="B101" i="88"/>
  <c r="B100" i="88"/>
  <c r="H99" i="88"/>
  <c r="G99" i="88"/>
  <c r="F99" i="88"/>
  <c r="E99" i="88"/>
  <c r="D99" i="88"/>
  <c r="C99" i="88"/>
  <c r="B99" i="88"/>
  <c r="H98" i="88"/>
  <c r="G98" i="88"/>
  <c r="F98" i="88"/>
  <c r="E98" i="88"/>
  <c r="D98" i="88"/>
  <c r="C98" i="88"/>
  <c r="B98" i="88"/>
  <c r="B97" i="88"/>
  <c r="N84" i="88"/>
  <c r="M84" i="88"/>
  <c r="L84" i="88"/>
  <c r="K84" i="88"/>
  <c r="J84" i="88"/>
  <c r="I84" i="88"/>
  <c r="H84" i="88"/>
  <c r="G84" i="88"/>
  <c r="F84" i="88"/>
  <c r="E84" i="88"/>
  <c r="D84" i="88"/>
  <c r="C84" i="88"/>
  <c r="B84" i="88"/>
  <c r="B42" i="88" s="1"/>
  <c r="N83" i="88"/>
  <c r="M83" i="88"/>
  <c r="L83" i="88"/>
  <c r="K83" i="88"/>
  <c r="J83" i="88"/>
  <c r="I83" i="88"/>
  <c r="H83" i="88"/>
  <c r="G83" i="88"/>
  <c r="F83" i="88"/>
  <c r="E83" i="88"/>
  <c r="D83" i="88"/>
  <c r="C83" i="88"/>
  <c r="B83" i="88"/>
  <c r="B41" i="88" s="1"/>
  <c r="N82" i="88"/>
  <c r="M82" i="88"/>
  <c r="L82" i="88"/>
  <c r="K82" i="88"/>
  <c r="J82" i="88"/>
  <c r="I82" i="88"/>
  <c r="H82" i="88"/>
  <c r="G82" i="88"/>
  <c r="F82" i="88"/>
  <c r="E82" i="88"/>
  <c r="D82" i="88"/>
  <c r="C82" i="88"/>
  <c r="B82" i="88"/>
  <c r="B40" i="88" s="1"/>
  <c r="N81" i="88"/>
  <c r="M81" i="88"/>
  <c r="L81" i="88"/>
  <c r="K81" i="88"/>
  <c r="J81" i="88"/>
  <c r="I81" i="88"/>
  <c r="H81" i="88"/>
  <c r="G81" i="88"/>
  <c r="F81" i="88"/>
  <c r="E81" i="88"/>
  <c r="D81" i="88"/>
  <c r="C81" i="88"/>
  <c r="B81" i="88"/>
  <c r="B39" i="88" s="1"/>
  <c r="N80" i="88"/>
  <c r="M80" i="88"/>
  <c r="L80" i="88"/>
  <c r="K80" i="88"/>
  <c r="J80" i="88"/>
  <c r="I80" i="88"/>
  <c r="H80" i="88"/>
  <c r="G80" i="88"/>
  <c r="F80" i="88"/>
  <c r="E80" i="88"/>
  <c r="D80" i="88"/>
  <c r="C80" i="88"/>
  <c r="B80" i="88"/>
  <c r="B38" i="88" s="1"/>
  <c r="B79" i="88"/>
  <c r="B37" i="88" s="1"/>
  <c r="N78" i="88"/>
  <c r="M78" i="88"/>
  <c r="L78" i="88"/>
  <c r="K78" i="88"/>
  <c r="J78" i="88"/>
  <c r="I78" i="88"/>
  <c r="H78" i="88"/>
  <c r="G78" i="88"/>
  <c r="F78" i="88"/>
  <c r="E78" i="88"/>
  <c r="D78" i="88"/>
  <c r="C78" i="88"/>
  <c r="B78" i="88"/>
  <c r="B34" i="88" s="1"/>
  <c r="N77" i="88"/>
  <c r="M77" i="88"/>
  <c r="L77" i="88"/>
  <c r="K77" i="88"/>
  <c r="J77" i="88"/>
  <c r="I77" i="88"/>
  <c r="H77" i="88"/>
  <c r="G77" i="88"/>
  <c r="F77" i="88"/>
  <c r="E77" i="88"/>
  <c r="D77" i="88"/>
  <c r="C77" i="88"/>
  <c r="B77" i="88"/>
  <c r="B33" i="88" s="1"/>
  <c r="B76" i="88"/>
  <c r="B32" i="88" s="1"/>
  <c r="B66" i="88"/>
  <c r="N65" i="88"/>
  <c r="M65" i="88"/>
  <c r="L65" i="88"/>
  <c r="K65" i="88"/>
  <c r="J65" i="88"/>
  <c r="I65" i="88"/>
  <c r="H65" i="88"/>
  <c r="G65" i="88"/>
  <c r="F65" i="88"/>
  <c r="E65" i="88"/>
  <c r="D65" i="88"/>
  <c r="C65" i="88"/>
  <c r="B65" i="88"/>
  <c r="B21" i="88" s="1"/>
  <c r="B20" i="72" s="1"/>
  <c r="N64" i="88"/>
  <c r="M64" i="88"/>
  <c r="L64" i="88"/>
  <c r="K64" i="88"/>
  <c r="J64" i="88"/>
  <c r="I64" i="88"/>
  <c r="H64" i="88"/>
  <c r="G64" i="88"/>
  <c r="F64" i="88"/>
  <c r="E64" i="88"/>
  <c r="D64" i="88"/>
  <c r="C64" i="88"/>
  <c r="B64" i="88"/>
  <c r="B20" i="88" s="1"/>
  <c r="B19" i="72" s="1"/>
  <c r="N63" i="88"/>
  <c r="M63" i="88"/>
  <c r="L63" i="88"/>
  <c r="K63" i="88"/>
  <c r="J63" i="88"/>
  <c r="I63" i="88"/>
  <c r="H63" i="88"/>
  <c r="G63" i="88"/>
  <c r="F63" i="88"/>
  <c r="E63" i="88"/>
  <c r="D63" i="88"/>
  <c r="C63" i="88"/>
  <c r="B63" i="88"/>
  <c r="B19" i="88" s="1"/>
  <c r="B18" i="72" s="1"/>
  <c r="N62" i="88"/>
  <c r="M62" i="88"/>
  <c r="L62" i="88"/>
  <c r="K62" i="88"/>
  <c r="J62" i="88"/>
  <c r="I62" i="88"/>
  <c r="H62" i="88"/>
  <c r="G62" i="88"/>
  <c r="F62" i="88"/>
  <c r="E62" i="88"/>
  <c r="D62" i="88"/>
  <c r="C62" i="88"/>
  <c r="B62" i="88"/>
  <c r="B18" i="88" s="1"/>
  <c r="B17" i="72" s="1"/>
  <c r="N61" i="88"/>
  <c r="M61" i="88"/>
  <c r="L61" i="88"/>
  <c r="K61" i="88"/>
  <c r="J61" i="88"/>
  <c r="I61" i="88"/>
  <c r="H61" i="88"/>
  <c r="G61" i="88"/>
  <c r="F61" i="88"/>
  <c r="E61" i="88"/>
  <c r="D61" i="88"/>
  <c r="C61" i="88"/>
  <c r="B61" i="88"/>
  <c r="B17" i="88" s="1"/>
  <c r="B16" i="72" s="1"/>
  <c r="B60" i="88"/>
  <c r="B16" i="88" s="1"/>
  <c r="B15" i="72" s="1"/>
  <c r="N59" i="88"/>
  <c r="M59" i="88"/>
  <c r="L59" i="88"/>
  <c r="K59" i="88"/>
  <c r="J59" i="88"/>
  <c r="I59" i="88"/>
  <c r="H59" i="88"/>
  <c r="G59" i="88"/>
  <c r="F59" i="88"/>
  <c r="E59" i="88"/>
  <c r="D59" i="88"/>
  <c r="C59" i="88"/>
  <c r="B59" i="88"/>
  <c r="B13" i="88" s="1"/>
  <c r="B13" i="72" s="1"/>
  <c r="N58" i="88"/>
  <c r="M58" i="88"/>
  <c r="L58" i="88"/>
  <c r="K58" i="88"/>
  <c r="J58" i="88"/>
  <c r="I58" i="88"/>
  <c r="H58" i="88"/>
  <c r="G58" i="88"/>
  <c r="F58" i="88"/>
  <c r="E58" i="88"/>
  <c r="D58" i="88"/>
  <c r="C58" i="88"/>
  <c r="B58" i="88"/>
  <c r="B12" i="88" s="1"/>
  <c r="B12" i="72" s="1"/>
  <c r="B57" i="88"/>
  <c r="B11" i="88" s="1"/>
  <c r="B11" i="72" s="1"/>
  <c r="J44" i="88"/>
  <c r="E44" i="88"/>
  <c r="M42" i="88"/>
  <c r="K42" i="88"/>
  <c r="F42" i="88"/>
  <c r="C42" i="88"/>
  <c r="M41" i="88"/>
  <c r="K41" i="88"/>
  <c r="F41" i="88"/>
  <c r="C41" i="88"/>
  <c r="M40" i="88"/>
  <c r="K40" i="88"/>
  <c r="F40" i="88"/>
  <c r="C40" i="88"/>
  <c r="C43" i="88" s="1"/>
  <c r="M39" i="88"/>
  <c r="K39" i="88"/>
  <c r="K43" i="88" s="1"/>
  <c r="F39" i="88"/>
  <c r="C39" i="88"/>
  <c r="M34" i="88"/>
  <c r="K34" i="88"/>
  <c r="F34" i="88"/>
  <c r="C34" i="88"/>
  <c r="M33" i="88"/>
  <c r="K33" i="88"/>
  <c r="F33" i="88"/>
  <c r="F35" i="88" s="1"/>
  <c r="C33" i="88"/>
  <c r="C35" i="88" s="1"/>
  <c r="E23" i="88"/>
  <c r="E16" i="88"/>
  <c r="E15" i="88"/>
  <c r="N66" i="131"/>
  <c r="M66" i="131"/>
  <c r="L66" i="131"/>
  <c r="K66" i="131"/>
  <c r="J66" i="131"/>
  <c r="I66" i="131"/>
  <c r="H66" i="131"/>
  <c r="G66" i="131"/>
  <c r="F66" i="131"/>
  <c r="E66" i="131"/>
  <c r="D66" i="131"/>
  <c r="C66" i="131"/>
  <c r="B66" i="131"/>
  <c r="N65" i="131"/>
  <c r="M65" i="131"/>
  <c r="L65" i="131"/>
  <c r="K65" i="131"/>
  <c r="J65" i="131"/>
  <c r="I65" i="131"/>
  <c r="H65" i="131"/>
  <c r="G65" i="131"/>
  <c r="F65" i="131"/>
  <c r="E65" i="131"/>
  <c r="D65" i="131"/>
  <c r="C65" i="131"/>
  <c r="B65" i="131"/>
  <c r="N64" i="131"/>
  <c r="M64" i="131"/>
  <c r="L64" i="131"/>
  <c r="K64" i="131"/>
  <c r="J64" i="131"/>
  <c r="I64" i="131"/>
  <c r="H64" i="131"/>
  <c r="G64" i="131"/>
  <c r="F64" i="131"/>
  <c r="E64" i="131"/>
  <c r="D64" i="131"/>
  <c r="C64" i="131"/>
  <c r="B64" i="131"/>
  <c r="N63" i="131"/>
  <c r="M63" i="131"/>
  <c r="L63" i="131"/>
  <c r="K63" i="131"/>
  <c r="J63" i="131"/>
  <c r="I63" i="131"/>
  <c r="H63" i="131"/>
  <c r="G63" i="131"/>
  <c r="F63" i="131"/>
  <c r="E63" i="131"/>
  <c r="D63" i="131"/>
  <c r="C63" i="131"/>
  <c r="B63" i="131"/>
  <c r="N62" i="131"/>
  <c r="M62" i="131"/>
  <c r="L62" i="131"/>
  <c r="K62" i="131"/>
  <c r="J62" i="131"/>
  <c r="I62" i="131"/>
  <c r="H62" i="131"/>
  <c r="G62" i="131"/>
  <c r="F62" i="131"/>
  <c r="E62" i="131"/>
  <c r="D62" i="131"/>
  <c r="C62" i="131"/>
  <c r="B62" i="131"/>
  <c r="AA60" i="131"/>
  <c r="N59" i="131"/>
  <c r="N58" i="131"/>
  <c r="M58" i="131"/>
  <c r="L58" i="131"/>
  <c r="K58" i="131"/>
  <c r="J58" i="131"/>
  <c r="I58" i="131"/>
  <c r="H58" i="131"/>
  <c r="G58" i="131"/>
  <c r="F58" i="131"/>
  <c r="E58" i="131"/>
  <c r="D58" i="131"/>
  <c r="C58" i="131"/>
  <c r="B58" i="131"/>
  <c r="N53" i="131"/>
  <c r="M53" i="131"/>
  <c r="L53" i="131"/>
  <c r="K53" i="131"/>
  <c r="J53" i="131"/>
  <c r="I53" i="131"/>
  <c r="H53" i="131"/>
  <c r="G53" i="131"/>
  <c r="F53" i="131"/>
  <c r="E53" i="131"/>
  <c r="D53" i="131"/>
  <c r="C53" i="131"/>
  <c r="B53" i="131"/>
  <c r="Z52" i="131"/>
  <c r="Y52" i="131"/>
  <c r="X52" i="131"/>
  <c r="V52" i="131"/>
  <c r="U52" i="131"/>
  <c r="T52" i="131"/>
  <c r="R52" i="131"/>
  <c r="Q52" i="131"/>
  <c r="P52" i="131"/>
  <c r="N52" i="131"/>
  <c r="M52" i="131"/>
  <c r="L52" i="131"/>
  <c r="K52" i="131"/>
  <c r="J52" i="131"/>
  <c r="I52" i="131"/>
  <c r="H52" i="131"/>
  <c r="G52" i="131"/>
  <c r="F52" i="131"/>
  <c r="E52" i="131"/>
  <c r="D52" i="131"/>
  <c r="C52" i="131"/>
  <c r="B52" i="131"/>
  <c r="Z51" i="131"/>
  <c r="Y51" i="131"/>
  <c r="W51" i="131"/>
  <c r="V51" i="131"/>
  <c r="U51" i="131"/>
  <c r="S51" i="131"/>
  <c r="R51" i="131"/>
  <c r="Q51" i="131"/>
  <c r="O51" i="131"/>
  <c r="N51" i="131"/>
  <c r="M51" i="131"/>
  <c r="L51" i="131"/>
  <c r="K51" i="131"/>
  <c r="J51" i="131"/>
  <c r="I51" i="131"/>
  <c r="H51" i="131"/>
  <c r="G51" i="131"/>
  <c r="F51" i="131"/>
  <c r="E51" i="131"/>
  <c r="D51" i="131"/>
  <c r="C51" i="131"/>
  <c r="B51" i="131"/>
  <c r="Z50" i="131"/>
  <c r="X50" i="131"/>
  <c r="W50" i="131"/>
  <c r="V50" i="131"/>
  <c r="T50" i="131"/>
  <c r="S50" i="131"/>
  <c r="R50" i="131"/>
  <c r="P50" i="131"/>
  <c r="O50" i="131"/>
  <c r="N50" i="131"/>
  <c r="M50" i="131"/>
  <c r="L50" i="131"/>
  <c r="K50" i="131"/>
  <c r="J50" i="131"/>
  <c r="I50" i="131"/>
  <c r="H50" i="131"/>
  <c r="G50" i="131"/>
  <c r="F50" i="131"/>
  <c r="E50" i="131"/>
  <c r="D50" i="131"/>
  <c r="C50" i="131"/>
  <c r="B50" i="131"/>
  <c r="Y49" i="131"/>
  <c r="X49" i="131"/>
  <c r="W49" i="131"/>
  <c r="U49" i="131"/>
  <c r="T49" i="131"/>
  <c r="S49" i="131"/>
  <c r="Q49" i="131"/>
  <c r="P49" i="131"/>
  <c r="O49" i="131"/>
  <c r="N49" i="131"/>
  <c r="M49" i="131"/>
  <c r="L49" i="131"/>
  <c r="K49" i="131"/>
  <c r="J49" i="131"/>
  <c r="I49" i="131"/>
  <c r="H49" i="131"/>
  <c r="G49" i="131"/>
  <c r="F49" i="131"/>
  <c r="E49" i="131"/>
  <c r="D49" i="131"/>
  <c r="C49" i="131"/>
  <c r="B49" i="131"/>
  <c r="O48" i="131"/>
  <c r="AA48" i="131" s="1"/>
  <c r="K39" i="127" s="1"/>
  <c r="AA47" i="131"/>
  <c r="Z46" i="131"/>
  <c r="X46" i="131"/>
  <c r="W46" i="131"/>
  <c r="V46" i="131"/>
  <c r="T46" i="131"/>
  <c r="S46" i="131"/>
  <c r="R46" i="131"/>
  <c r="P46" i="131"/>
  <c r="O46" i="131"/>
  <c r="N46" i="131"/>
  <c r="M46" i="131"/>
  <c r="L46" i="131"/>
  <c r="K46" i="131"/>
  <c r="J46" i="131"/>
  <c r="I46" i="131"/>
  <c r="H46" i="131"/>
  <c r="G46" i="131"/>
  <c r="F46" i="131"/>
  <c r="E46" i="131"/>
  <c r="D46" i="131"/>
  <c r="C46" i="131"/>
  <c r="B46" i="131"/>
  <c r="Y45" i="131"/>
  <c r="X45" i="131"/>
  <c r="W45" i="131"/>
  <c r="U45" i="131"/>
  <c r="T45" i="131"/>
  <c r="S45" i="131"/>
  <c r="Q45" i="131"/>
  <c r="P45" i="131"/>
  <c r="O45" i="131"/>
  <c r="N45" i="131"/>
  <c r="M45" i="131"/>
  <c r="L45" i="131"/>
  <c r="K45" i="131"/>
  <c r="J45" i="131"/>
  <c r="I45" i="131"/>
  <c r="H45" i="131"/>
  <c r="G45" i="131"/>
  <c r="F45" i="131"/>
  <c r="E45" i="131"/>
  <c r="D45" i="131"/>
  <c r="C45" i="131"/>
  <c r="B45" i="131"/>
  <c r="N40" i="131"/>
  <c r="Z39" i="131"/>
  <c r="Y39" i="131"/>
  <c r="X39" i="131"/>
  <c r="W39" i="131"/>
  <c r="V39" i="131"/>
  <c r="U39" i="131"/>
  <c r="T39" i="131"/>
  <c r="S39" i="131"/>
  <c r="R39" i="131"/>
  <c r="Q39" i="131"/>
  <c r="P39" i="131"/>
  <c r="O39" i="131"/>
  <c r="N39" i="131"/>
  <c r="M39" i="131"/>
  <c r="L39" i="131"/>
  <c r="K39" i="131"/>
  <c r="J39" i="131"/>
  <c r="I39" i="131"/>
  <c r="H39" i="131"/>
  <c r="G39" i="131"/>
  <c r="F39" i="131"/>
  <c r="E39" i="131"/>
  <c r="D39" i="131"/>
  <c r="C39" i="131"/>
  <c r="B39" i="131"/>
  <c r="Z38" i="131"/>
  <c r="Y38" i="131"/>
  <c r="X38" i="131"/>
  <c r="W38" i="131"/>
  <c r="V38" i="131"/>
  <c r="U38" i="131"/>
  <c r="T38" i="131"/>
  <c r="S38" i="131"/>
  <c r="R38" i="131"/>
  <c r="Q38" i="131"/>
  <c r="P38" i="131"/>
  <c r="O38" i="131"/>
  <c r="N38" i="131"/>
  <c r="M38" i="131"/>
  <c r="L38" i="131"/>
  <c r="K38" i="131"/>
  <c r="J38" i="131"/>
  <c r="I38" i="131"/>
  <c r="H38" i="131"/>
  <c r="G38" i="131"/>
  <c r="F38" i="131"/>
  <c r="E38" i="131"/>
  <c r="D38" i="131"/>
  <c r="C38" i="131"/>
  <c r="B38" i="131"/>
  <c r="Z37" i="131"/>
  <c r="Y37" i="131"/>
  <c r="X37" i="131"/>
  <c r="W37" i="131"/>
  <c r="V37" i="131"/>
  <c r="U37" i="131"/>
  <c r="T37" i="131"/>
  <c r="S37" i="131"/>
  <c r="R37" i="131"/>
  <c r="Q37" i="131"/>
  <c r="P37" i="131"/>
  <c r="O37" i="131"/>
  <c r="N37" i="131"/>
  <c r="M37" i="131"/>
  <c r="L37" i="131"/>
  <c r="K37" i="131"/>
  <c r="J37" i="131"/>
  <c r="I37" i="131"/>
  <c r="H37" i="131"/>
  <c r="G37" i="131"/>
  <c r="F37" i="131"/>
  <c r="E37" i="131"/>
  <c r="D37" i="131"/>
  <c r="C37" i="131"/>
  <c r="B37" i="131"/>
  <c r="Z36" i="131"/>
  <c r="Y36" i="131"/>
  <c r="X36" i="131"/>
  <c r="W36" i="131"/>
  <c r="V36" i="131"/>
  <c r="U36" i="131"/>
  <c r="T36" i="131"/>
  <c r="S36" i="131"/>
  <c r="R36" i="131"/>
  <c r="Q36" i="131"/>
  <c r="P36" i="131"/>
  <c r="O36" i="131"/>
  <c r="N36" i="131"/>
  <c r="M36" i="131"/>
  <c r="L36" i="131"/>
  <c r="K36" i="131"/>
  <c r="J36" i="131"/>
  <c r="I36" i="131"/>
  <c r="H36" i="131"/>
  <c r="G36" i="131"/>
  <c r="F36" i="131"/>
  <c r="E36" i="131"/>
  <c r="D36" i="131"/>
  <c r="C36" i="131"/>
  <c r="B36" i="131"/>
  <c r="AA35" i="131"/>
  <c r="AA34" i="131"/>
  <c r="Z33" i="131"/>
  <c r="Y33" i="131"/>
  <c r="X33" i="131"/>
  <c r="W33" i="131"/>
  <c r="V33" i="131"/>
  <c r="U33" i="131"/>
  <c r="T33" i="131"/>
  <c r="S33" i="131"/>
  <c r="R33" i="131"/>
  <c r="Q33" i="131"/>
  <c r="P33" i="131"/>
  <c r="O33" i="131"/>
  <c r="N33" i="131"/>
  <c r="M33" i="131"/>
  <c r="L33" i="131"/>
  <c r="K33" i="131"/>
  <c r="J33" i="131"/>
  <c r="I33" i="131"/>
  <c r="H33" i="131"/>
  <c r="G33" i="131"/>
  <c r="F33" i="131"/>
  <c r="E33" i="131"/>
  <c r="D33" i="131"/>
  <c r="C33" i="131"/>
  <c r="B33" i="131"/>
  <c r="Z32" i="131"/>
  <c r="Y32" i="131"/>
  <c r="Y40" i="131" s="1"/>
  <c r="X32" i="131"/>
  <c r="W32" i="131"/>
  <c r="V32" i="131"/>
  <c r="U32" i="131"/>
  <c r="T32" i="131"/>
  <c r="S32" i="131"/>
  <c r="R32" i="131"/>
  <c r="Q32" i="131"/>
  <c r="P32" i="131"/>
  <c r="O32" i="131"/>
  <c r="N32" i="131"/>
  <c r="M32" i="131"/>
  <c r="L32" i="131"/>
  <c r="K32" i="131"/>
  <c r="J32" i="131"/>
  <c r="I32" i="131"/>
  <c r="H32" i="131"/>
  <c r="G32" i="131"/>
  <c r="F32" i="131"/>
  <c r="E32" i="131"/>
  <c r="D32" i="131"/>
  <c r="C32" i="131"/>
  <c r="B32" i="131"/>
  <c r="N27" i="131"/>
  <c r="M27" i="131"/>
  <c r="L27" i="131"/>
  <c r="K27" i="131"/>
  <c r="J27" i="131"/>
  <c r="I27" i="131"/>
  <c r="H27" i="131"/>
  <c r="G27" i="131"/>
  <c r="F27" i="131"/>
  <c r="E27" i="131"/>
  <c r="D27" i="131"/>
  <c r="C27" i="131"/>
  <c r="B27" i="131"/>
  <c r="Z26" i="131"/>
  <c r="Y26" i="131"/>
  <c r="X26" i="131"/>
  <c r="W26" i="131"/>
  <c r="V26" i="131"/>
  <c r="U26" i="131"/>
  <c r="T26" i="131"/>
  <c r="S26" i="131"/>
  <c r="R26" i="131"/>
  <c r="Q26" i="131"/>
  <c r="P26" i="131"/>
  <c r="O26" i="131"/>
  <c r="AA26" i="131" s="1"/>
  <c r="C43" i="127" s="1"/>
  <c r="N26" i="131"/>
  <c r="M26" i="131"/>
  <c r="L26" i="131"/>
  <c r="K26" i="131"/>
  <c r="J26" i="131"/>
  <c r="I26" i="131"/>
  <c r="H26" i="131"/>
  <c r="G26" i="131"/>
  <c r="F26" i="131"/>
  <c r="E26" i="131"/>
  <c r="D26" i="131"/>
  <c r="C26" i="131"/>
  <c r="B26" i="131"/>
  <c r="Z25" i="131"/>
  <c r="Y25" i="131"/>
  <c r="X25" i="131"/>
  <c r="W25" i="131"/>
  <c r="V25" i="131"/>
  <c r="U25" i="131"/>
  <c r="T25" i="131"/>
  <c r="S25" i="131"/>
  <c r="R25" i="131"/>
  <c r="Q25" i="131"/>
  <c r="P25" i="131"/>
  <c r="O25" i="131"/>
  <c r="AA25" i="131" s="1"/>
  <c r="C42" i="127" s="1"/>
  <c r="N25" i="131"/>
  <c r="M25" i="131"/>
  <c r="L25" i="131"/>
  <c r="K25" i="131"/>
  <c r="J25" i="131"/>
  <c r="I25" i="131"/>
  <c r="H25" i="131"/>
  <c r="G25" i="131"/>
  <c r="F25" i="131"/>
  <c r="E25" i="131"/>
  <c r="D25" i="131"/>
  <c r="C25" i="131"/>
  <c r="B25" i="131"/>
  <c r="Z24" i="131"/>
  <c r="Y24" i="131"/>
  <c r="X24" i="131"/>
  <c r="W24" i="131"/>
  <c r="V24" i="131"/>
  <c r="U24" i="131"/>
  <c r="T24" i="131"/>
  <c r="S24" i="131"/>
  <c r="R24" i="131"/>
  <c r="Q24" i="131"/>
  <c r="P24" i="131"/>
  <c r="O24" i="131"/>
  <c r="AA24" i="131" s="1"/>
  <c r="C41" i="127" s="1"/>
  <c r="N24" i="131"/>
  <c r="M24" i="131"/>
  <c r="L24" i="131"/>
  <c r="K24" i="131"/>
  <c r="J24" i="131"/>
  <c r="I24" i="131"/>
  <c r="H24" i="131"/>
  <c r="G24" i="131"/>
  <c r="F24" i="131"/>
  <c r="E24" i="131"/>
  <c r="D24" i="131"/>
  <c r="C24" i="131"/>
  <c r="B24" i="131"/>
  <c r="Z23" i="131"/>
  <c r="Y23" i="131"/>
  <c r="X23" i="131"/>
  <c r="W23" i="131"/>
  <c r="V23" i="131"/>
  <c r="U23" i="131"/>
  <c r="T23" i="131"/>
  <c r="S23" i="131"/>
  <c r="R23" i="131"/>
  <c r="Q23" i="131"/>
  <c r="P23" i="131"/>
  <c r="O23" i="131"/>
  <c r="AA23" i="131" s="1"/>
  <c r="C40" i="127" s="1"/>
  <c r="N23" i="131"/>
  <c r="M23" i="131"/>
  <c r="L23" i="131"/>
  <c r="K23" i="131"/>
  <c r="J23" i="131"/>
  <c r="I23" i="131"/>
  <c r="H23" i="131"/>
  <c r="G23" i="131"/>
  <c r="F23" i="131"/>
  <c r="E23" i="131"/>
  <c r="D23" i="131"/>
  <c r="C23" i="131"/>
  <c r="B23" i="131"/>
  <c r="AA22" i="131"/>
  <c r="AA21" i="131"/>
  <c r="Z20" i="131"/>
  <c r="Z27" i="131" s="1"/>
  <c r="Y20" i="131"/>
  <c r="Y27" i="131" s="1"/>
  <c r="X20" i="131"/>
  <c r="W20" i="131"/>
  <c r="V20" i="131"/>
  <c r="V27" i="131" s="1"/>
  <c r="U20" i="131"/>
  <c r="U27" i="131" s="1"/>
  <c r="T20" i="131"/>
  <c r="S20" i="131"/>
  <c r="R20" i="131"/>
  <c r="R27" i="131" s="1"/>
  <c r="Q20" i="131"/>
  <c r="Q27" i="131" s="1"/>
  <c r="P20" i="131"/>
  <c r="O20" i="131"/>
  <c r="N20" i="131"/>
  <c r="M20" i="131"/>
  <c r="L20" i="131"/>
  <c r="K20" i="131"/>
  <c r="J20" i="131"/>
  <c r="I20" i="131"/>
  <c r="H20" i="131"/>
  <c r="G20" i="131"/>
  <c r="F20" i="131"/>
  <c r="E20" i="131"/>
  <c r="D20" i="131"/>
  <c r="C20" i="131"/>
  <c r="B20" i="131"/>
  <c r="Z19" i="131"/>
  <c r="Y19" i="131"/>
  <c r="X19" i="131"/>
  <c r="X27" i="131" s="1"/>
  <c r="W19" i="131"/>
  <c r="W27" i="131" s="1"/>
  <c r="V19" i="131"/>
  <c r="U19" i="131"/>
  <c r="T19" i="131"/>
  <c r="T27" i="131" s="1"/>
  <c r="S19" i="131"/>
  <c r="S27" i="131" s="1"/>
  <c r="R19" i="131"/>
  <c r="Q19" i="131"/>
  <c r="P19" i="131"/>
  <c r="P27" i="131" s="1"/>
  <c r="O19" i="131"/>
  <c r="O27" i="131" s="1"/>
  <c r="N19" i="131"/>
  <c r="M19" i="131"/>
  <c r="L19" i="131"/>
  <c r="K19" i="131"/>
  <c r="J19" i="131"/>
  <c r="I19" i="131"/>
  <c r="H19" i="131"/>
  <c r="G19" i="131"/>
  <c r="F19" i="131"/>
  <c r="E19" i="131"/>
  <c r="D19" i="131"/>
  <c r="C19" i="131"/>
  <c r="B19" i="131"/>
  <c r="N14" i="131"/>
  <c r="M14" i="131"/>
  <c r="L14" i="131"/>
  <c r="K14" i="131"/>
  <c r="J14" i="131"/>
  <c r="I14" i="131"/>
  <c r="H14" i="131"/>
  <c r="G14" i="131"/>
  <c r="F14" i="131"/>
  <c r="E14" i="131"/>
  <c r="D14" i="131"/>
  <c r="C14" i="131"/>
  <c r="B14" i="131"/>
  <c r="N13" i="131"/>
  <c r="N12" i="131"/>
  <c r="N11" i="131"/>
  <c r="N10" i="131"/>
  <c r="N9" i="131"/>
  <c r="N7" i="131"/>
  <c r="N6" i="131"/>
  <c r="B6" i="131"/>
  <c r="E230" i="126"/>
  <c r="F230" i="126" s="1"/>
  <c r="D230" i="126"/>
  <c r="E229" i="126"/>
  <c r="F229" i="126" s="1"/>
  <c r="S37" i="99" s="1"/>
  <c r="D229" i="126"/>
  <c r="E228" i="126"/>
  <c r="F228" i="126" s="1"/>
  <c r="D228" i="126"/>
  <c r="E227" i="126"/>
  <c r="F227" i="126" s="1"/>
  <c r="D227" i="126"/>
  <c r="E226" i="126"/>
  <c r="F226" i="126" s="1"/>
  <c r="D226" i="126"/>
  <c r="E222" i="126"/>
  <c r="F222" i="126" s="1"/>
  <c r="S20" i="99" s="1"/>
  <c r="S20" i="100" s="1"/>
  <c r="D222" i="126"/>
  <c r="E221" i="126"/>
  <c r="D221" i="126"/>
  <c r="E201" i="126"/>
  <c r="D201" i="126"/>
  <c r="E200" i="126"/>
  <c r="D200" i="126"/>
  <c r="D202" i="126" s="1"/>
  <c r="E199" i="126"/>
  <c r="E202" i="126" s="1"/>
  <c r="D199" i="126"/>
  <c r="J193" i="126"/>
  <c r="L192" i="126"/>
  <c r="G200" i="126" s="1"/>
  <c r="J205" i="126" s="1"/>
  <c r="J192" i="126"/>
  <c r="E184" i="126"/>
  <c r="G181" i="126"/>
  <c r="G184" i="126" s="1"/>
  <c r="F181" i="126"/>
  <c r="F184" i="126" s="1"/>
  <c r="E181" i="126"/>
  <c r="H180" i="126"/>
  <c r="G25" i="68" s="1"/>
  <c r="G49" i="68" s="1"/>
  <c r="G180" i="126"/>
  <c r="H179" i="126"/>
  <c r="G24" i="68" s="1"/>
  <c r="G48" i="68" s="1"/>
  <c r="I178" i="126"/>
  <c r="H178" i="126"/>
  <c r="G23" i="68" s="1"/>
  <c r="G47" i="68" s="1"/>
  <c r="H177" i="126"/>
  <c r="H176" i="126"/>
  <c r="G21" i="68" s="1"/>
  <c r="G45" i="68" s="1"/>
  <c r="H175" i="126"/>
  <c r="H174" i="126"/>
  <c r="G19" i="68" s="1"/>
  <c r="G43" i="68" s="1"/>
  <c r="H173" i="126"/>
  <c r="I172" i="126"/>
  <c r="H172" i="126"/>
  <c r="G17" i="68" s="1"/>
  <c r="G41" i="68" s="1"/>
  <c r="H171" i="126"/>
  <c r="H170" i="126"/>
  <c r="G15" i="68" s="1"/>
  <c r="G39" i="68" s="1"/>
  <c r="H169" i="126"/>
  <c r="I168" i="126"/>
  <c r="H168" i="126"/>
  <c r="G13" i="68" s="1"/>
  <c r="G37" i="68" s="1"/>
  <c r="H167" i="126"/>
  <c r="H166" i="126"/>
  <c r="G11" i="68" s="1"/>
  <c r="G35" i="68" s="1"/>
  <c r="G164" i="126"/>
  <c r="F164" i="126"/>
  <c r="J164" i="126" s="1"/>
  <c r="E164" i="126"/>
  <c r="H163" i="126"/>
  <c r="G14" i="69" s="1"/>
  <c r="G26" i="69" s="1"/>
  <c r="I162" i="126"/>
  <c r="H162" i="126"/>
  <c r="H161" i="126"/>
  <c r="I161" i="126" s="1"/>
  <c r="E154" i="126"/>
  <c r="E153" i="126"/>
  <c r="F148" i="126" s="1"/>
  <c r="F153" i="126" s="1"/>
  <c r="G148" i="126" s="1"/>
  <c r="G153" i="126" s="1"/>
  <c r="E152" i="126"/>
  <c r="E155" i="126" s="1"/>
  <c r="I138" i="117" s="1"/>
  <c r="G151" i="126"/>
  <c r="F151" i="126"/>
  <c r="E150" i="126"/>
  <c r="F149" i="126"/>
  <c r="F154" i="126" s="1"/>
  <c r="G149" i="126" s="1"/>
  <c r="G154" i="126" s="1"/>
  <c r="E144" i="126"/>
  <c r="F139" i="126" s="1"/>
  <c r="F144" i="126" s="1"/>
  <c r="G139" i="126" s="1"/>
  <c r="G144" i="126" s="1"/>
  <c r="E143" i="126"/>
  <c r="E142" i="126"/>
  <c r="F141" i="126"/>
  <c r="G141" i="126" s="1"/>
  <c r="E140" i="126"/>
  <c r="F138" i="126"/>
  <c r="F137" i="126"/>
  <c r="F142" i="126" s="1"/>
  <c r="G128" i="126"/>
  <c r="F128" i="126"/>
  <c r="E128" i="126"/>
  <c r="G123" i="126"/>
  <c r="F123" i="126"/>
  <c r="E123" i="126"/>
  <c r="P115" i="126"/>
  <c r="P114" i="126"/>
  <c r="Q104" i="82" s="1"/>
  <c r="H112" i="126"/>
  <c r="G112" i="126"/>
  <c r="D112" i="126"/>
  <c r="F109" i="126"/>
  <c r="P109" i="126" s="1"/>
  <c r="Q98" i="82" s="1"/>
  <c r="I108" i="126"/>
  <c r="I112" i="126" s="1"/>
  <c r="H108" i="126"/>
  <c r="G108" i="126"/>
  <c r="F108" i="126"/>
  <c r="F112" i="126" s="1"/>
  <c r="E108" i="126"/>
  <c r="E112" i="126" s="1"/>
  <c r="D108" i="126"/>
  <c r="D106" i="126"/>
  <c r="P105" i="126"/>
  <c r="Q71" i="82" s="1"/>
  <c r="P104" i="126"/>
  <c r="Q70" i="82" s="1"/>
  <c r="P102" i="126"/>
  <c r="P101" i="126"/>
  <c r="Q68" i="82" s="1"/>
  <c r="P100" i="126"/>
  <c r="Q63" i="82" s="1"/>
  <c r="O100" i="126"/>
  <c r="J100" i="126"/>
  <c r="G100" i="126"/>
  <c r="N99" i="126"/>
  <c r="M99" i="126"/>
  <c r="L99" i="126"/>
  <c r="K99" i="126"/>
  <c r="J99" i="126"/>
  <c r="I99" i="126"/>
  <c r="H99" i="126"/>
  <c r="G99" i="126"/>
  <c r="P99" i="126" s="1"/>
  <c r="Q62" i="82" s="1"/>
  <c r="P98" i="126"/>
  <c r="Q66" i="82" s="1"/>
  <c r="P96" i="126"/>
  <c r="I90" i="126"/>
  <c r="G90" i="126"/>
  <c r="I89" i="126"/>
  <c r="J80" i="117" s="1"/>
  <c r="J174" i="117" s="1"/>
  <c r="H89" i="126"/>
  <c r="I80" i="117" s="1"/>
  <c r="I174" i="117" s="1"/>
  <c r="G89" i="126"/>
  <c r="H80" i="117" s="1"/>
  <c r="H174" i="117" s="1"/>
  <c r="F89" i="126"/>
  <c r="G80" i="117" s="1"/>
  <c r="G174" i="117" s="1"/>
  <c r="E89" i="126"/>
  <c r="F80" i="117" s="1"/>
  <c r="F174" i="117" s="1"/>
  <c r="D89" i="126"/>
  <c r="E80" i="117" s="1"/>
  <c r="E174" i="117" s="1"/>
  <c r="I87" i="126"/>
  <c r="H87" i="126"/>
  <c r="G87" i="126"/>
  <c r="F87" i="126"/>
  <c r="E87" i="126"/>
  <c r="D87" i="126"/>
  <c r="O83" i="126"/>
  <c r="N83" i="126"/>
  <c r="O60" i="117" s="1"/>
  <c r="O165" i="117" s="1"/>
  <c r="M83" i="126"/>
  <c r="N60" i="117" s="1"/>
  <c r="N165" i="117" s="1"/>
  <c r="L83" i="126"/>
  <c r="M60" i="117" s="1"/>
  <c r="M165" i="117" s="1"/>
  <c r="K83" i="126"/>
  <c r="I83" i="126"/>
  <c r="J60" i="117" s="1"/>
  <c r="J165" i="117" s="1"/>
  <c r="O81" i="126"/>
  <c r="N81" i="126"/>
  <c r="M81" i="126"/>
  <c r="L81" i="126"/>
  <c r="K81" i="126"/>
  <c r="J81" i="126"/>
  <c r="I81" i="126"/>
  <c r="I88" i="126"/>
  <c r="E79" i="126"/>
  <c r="O78" i="126"/>
  <c r="N78" i="126"/>
  <c r="N82" i="126" s="1"/>
  <c r="O59" i="117" s="1"/>
  <c r="O164" i="117" s="1"/>
  <c r="M78" i="126"/>
  <c r="N49" i="117" s="1"/>
  <c r="N50" i="117" s="1"/>
  <c r="L78" i="126"/>
  <c r="M49" i="117" s="1"/>
  <c r="M50" i="117" s="1"/>
  <c r="K78" i="126"/>
  <c r="L49" i="117" s="1"/>
  <c r="L50" i="117" s="1"/>
  <c r="J78" i="126"/>
  <c r="K49" i="117" s="1"/>
  <c r="K50" i="117" s="1"/>
  <c r="I78" i="126"/>
  <c r="J49" i="117" s="1"/>
  <c r="J50" i="117" s="1"/>
  <c r="H78" i="126"/>
  <c r="I49" i="117" s="1"/>
  <c r="I50" i="117" s="1"/>
  <c r="G78" i="126"/>
  <c r="H49" i="117" s="1"/>
  <c r="H50" i="117" s="1"/>
  <c r="F78" i="126"/>
  <c r="G49" i="117" s="1"/>
  <c r="G50" i="117" s="1"/>
  <c r="E78" i="126"/>
  <c r="F49" i="117" s="1"/>
  <c r="F50" i="117" s="1"/>
  <c r="D78" i="126"/>
  <c r="E49" i="117" s="1"/>
  <c r="E50" i="117" s="1"/>
  <c r="O77" i="126"/>
  <c r="P18" i="117" s="1"/>
  <c r="P19" i="117" s="1"/>
  <c r="P38" i="117" s="1"/>
  <c r="N77" i="126"/>
  <c r="O18" i="117" s="1"/>
  <c r="O19" i="117" s="1"/>
  <c r="O38" i="117" s="1"/>
  <c r="M77" i="126"/>
  <c r="N18" i="117" s="1"/>
  <c r="N19" i="117" s="1"/>
  <c r="N38" i="117" s="1"/>
  <c r="L77" i="126"/>
  <c r="M18" i="117" s="1"/>
  <c r="M19" i="117" s="1"/>
  <c r="M38" i="117" s="1"/>
  <c r="K77" i="126"/>
  <c r="L18" i="117" s="1"/>
  <c r="L19" i="117" s="1"/>
  <c r="L38" i="117" s="1"/>
  <c r="J77" i="126"/>
  <c r="K18" i="117" s="1"/>
  <c r="K19" i="117" s="1"/>
  <c r="K38" i="117" s="1"/>
  <c r="I77" i="126"/>
  <c r="J18" i="117" s="1"/>
  <c r="J19" i="117" s="1"/>
  <c r="J38" i="117" s="1"/>
  <c r="H77" i="126"/>
  <c r="I18" i="117" s="1"/>
  <c r="I19" i="117" s="1"/>
  <c r="I38" i="117" s="1"/>
  <c r="G77" i="126"/>
  <c r="H18" i="117" s="1"/>
  <c r="H19" i="117" s="1"/>
  <c r="H38" i="117" s="1"/>
  <c r="F77" i="126"/>
  <c r="G18" i="117" s="1"/>
  <c r="G19" i="117" s="1"/>
  <c r="G38" i="117" s="1"/>
  <c r="E77" i="126"/>
  <c r="F18" i="117" s="1"/>
  <c r="F19" i="117" s="1"/>
  <c r="F38" i="117" s="1"/>
  <c r="D77" i="126"/>
  <c r="E18" i="117" s="1"/>
  <c r="E19" i="117" s="1"/>
  <c r="Q70" i="126"/>
  <c r="P70" i="126"/>
  <c r="O70" i="126"/>
  <c r="B110" i="129" s="1"/>
  <c r="J70" i="126"/>
  <c r="K141" i="88" s="1"/>
  <c r="G70" i="126"/>
  <c r="H141" i="88" s="1"/>
  <c r="F70" i="126"/>
  <c r="G141" i="88" s="1"/>
  <c r="E70" i="126"/>
  <c r="F141" i="88" s="1"/>
  <c r="D70" i="126"/>
  <c r="E141" i="88" s="1"/>
  <c r="C70" i="126"/>
  <c r="D141" i="88" s="1"/>
  <c r="B70" i="126"/>
  <c r="C141" i="88" s="1"/>
  <c r="Q69" i="126"/>
  <c r="P69" i="126"/>
  <c r="O69" i="126"/>
  <c r="B109" i="129" s="1"/>
  <c r="G69" i="126"/>
  <c r="H140" i="88" s="1"/>
  <c r="F69" i="126"/>
  <c r="G140" i="88" s="1"/>
  <c r="E69" i="126"/>
  <c r="F140" i="88" s="1"/>
  <c r="D69" i="126"/>
  <c r="E140" i="88" s="1"/>
  <c r="C69" i="126"/>
  <c r="D140" i="88" s="1"/>
  <c r="B69" i="126"/>
  <c r="C140" i="88" s="1"/>
  <c r="Q68" i="126"/>
  <c r="P68" i="126"/>
  <c r="O68" i="126"/>
  <c r="G68" i="126"/>
  <c r="H139" i="88" s="1"/>
  <c r="F68" i="126"/>
  <c r="G139" i="88" s="1"/>
  <c r="E68" i="126"/>
  <c r="F139" i="88" s="1"/>
  <c r="D68" i="126"/>
  <c r="E139" i="88" s="1"/>
  <c r="C68" i="126"/>
  <c r="D139" i="88" s="1"/>
  <c r="B68" i="126"/>
  <c r="C139" i="88" s="1"/>
  <c r="Q67" i="126"/>
  <c r="P67" i="126"/>
  <c r="O67" i="126"/>
  <c r="C30" i="100" s="1"/>
  <c r="M30" i="100" s="1"/>
  <c r="G67" i="126"/>
  <c r="H138" i="88" s="1"/>
  <c r="F67" i="126"/>
  <c r="G138" i="88" s="1"/>
  <c r="E67" i="126"/>
  <c r="F138" i="88" s="1"/>
  <c r="D67" i="126"/>
  <c r="E138" i="88" s="1"/>
  <c r="C67" i="126"/>
  <c r="D138" i="88" s="1"/>
  <c r="B67" i="126"/>
  <c r="C138" i="88" s="1"/>
  <c r="Q66" i="126"/>
  <c r="P66" i="126"/>
  <c r="O66" i="126"/>
  <c r="C29" i="137" s="1"/>
  <c r="G66" i="126"/>
  <c r="H137" i="88" s="1"/>
  <c r="C66" i="126"/>
  <c r="D137" i="88" s="1"/>
  <c r="Q65" i="126"/>
  <c r="P65" i="126"/>
  <c r="O65" i="126"/>
  <c r="Q64" i="126"/>
  <c r="P64" i="126"/>
  <c r="O64" i="126"/>
  <c r="C20" i="137" s="1"/>
  <c r="G64" i="126"/>
  <c r="H135" i="88" s="1"/>
  <c r="F64" i="126"/>
  <c r="G135" i="88" s="1"/>
  <c r="E64" i="126"/>
  <c r="F135" i="88" s="1"/>
  <c r="D64" i="126"/>
  <c r="E135" i="88" s="1"/>
  <c r="D135" i="88"/>
  <c r="C135" i="88"/>
  <c r="O63" i="126"/>
  <c r="C14" i="137" s="1"/>
  <c r="I134" i="88"/>
  <c r="F134" i="88"/>
  <c r="D134" i="88"/>
  <c r="Q57" i="126"/>
  <c r="O57" i="126"/>
  <c r="G57" i="126"/>
  <c r="F57" i="126"/>
  <c r="C57" i="126"/>
  <c r="N126" i="88"/>
  <c r="M126" i="88"/>
  <c r="K70" i="126"/>
  <c r="L141" i="88" s="1"/>
  <c r="K126" i="88"/>
  <c r="J126" i="88"/>
  <c r="I126" i="88"/>
  <c r="M69" i="126"/>
  <c r="N140" i="88" s="1"/>
  <c r="L69" i="126"/>
  <c r="M140" i="88" s="1"/>
  <c r="K69" i="126"/>
  <c r="L140" i="88" s="1"/>
  <c r="K125" i="88"/>
  <c r="I69" i="126"/>
  <c r="J140" i="88" s="1"/>
  <c r="H69" i="126"/>
  <c r="L52" i="126"/>
  <c r="M122" i="88" s="1"/>
  <c r="G52" i="126"/>
  <c r="H122" i="88" s="1"/>
  <c r="F52" i="126"/>
  <c r="F66" i="126" s="1"/>
  <c r="G137" i="88" s="1"/>
  <c r="E52" i="126"/>
  <c r="E57" i="126" s="1"/>
  <c r="D52" i="126"/>
  <c r="D57" i="126" s="1"/>
  <c r="C52" i="126"/>
  <c r="D122" i="88" s="1"/>
  <c r="B52" i="126"/>
  <c r="B57" i="126" s="1"/>
  <c r="Q49" i="126"/>
  <c r="Q63" i="126" s="1"/>
  <c r="Q71" i="126" s="1"/>
  <c r="P49" i="126"/>
  <c r="P57" i="126" s="1"/>
  <c r="O49" i="126"/>
  <c r="Q43" i="126"/>
  <c r="P43" i="126"/>
  <c r="O43" i="126"/>
  <c r="G43" i="126"/>
  <c r="F43" i="126"/>
  <c r="E43" i="126"/>
  <c r="D43" i="126"/>
  <c r="C43" i="126"/>
  <c r="B43" i="126"/>
  <c r="N42" i="126"/>
  <c r="N41" i="126"/>
  <c r="G31" i="126"/>
  <c r="N30" i="126"/>
  <c r="N29" i="126"/>
  <c r="M29" i="126"/>
  <c r="L29" i="126"/>
  <c r="K29" i="126"/>
  <c r="J29" i="126"/>
  <c r="I29" i="126"/>
  <c r="G29" i="126"/>
  <c r="F29" i="126"/>
  <c r="E29" i="126"/>
  <c r="D29" i="126"/>
  <c r="C29" i="126"/>
  <c r="B29" i="126"/>
  <c r="O28" i="126"/>
  <c r="O27" i="126"/>
  <c r="O26" i="126"/>
  <c r="O25" i="126"/>
  <c r="O24" i="126"/>
  <c r="O22" i="126"/>
  <c r="O21" i="126"/>
  <c r="M15" i="126"/>
  <c r="L15" i="126"/>
  <c r="K15" i="126"/>
  <c r="J15" i="126"/>
  <c r="I15" i="126"/>
  <c r="H15" i="126"/>
  <c r="G15" i="126"/>
  <c r="F15" i="126"/>
  <c r="E15" i="126"/>
  <c r="D15" i="126"/>
  <c r="C15" i="126"/>
  <c r="N14" i="126"/>
  <c r="C21" i="88" s="1"/>
  <c r="N13" i="126"/>
  <c r="C20" i="88" s="1"/>
  <c r="N12" i="126"/>
  <c r="C19" i="88" s="1"/>
  <c r="N11" i="126"/>
  <c r="C18" i="88" s="1"/>
  <c r="N10" i="126"/>
  <c r="C17" i="88" s="1"/>
  <c r="N8" i="126"/>
  <c r="C13" i="88" s="1"/>
  <c r="N7" i="126"/>
  <c r="C12" i="88" s="1"/>
  <c r="B7" i="126"/>
  <c r="B15" i="126" s="1"/>
  <c r="E24" i="134"/>
  <c r="D24" i="134"/>
  <c r="C24" i="134"/>
  <c r="E23" i="134"/>
  <c r="D23" i="134"/>
  <c r="C23" i="134"/>
  <c r="E22" i="134"/>
  <c r="D22" i="134"/>
  <c r="E21" i="134"/>
  <c r="I29" i="82" s="1"/>
  <c r="D21" i="134"/>
  <c r="N17" i="134"/>
  <c r="M17" i="134"/>
  <c r="O17" i="134" s="1"/>
  <c r="J17" i="134"/>
  <c r="I17" i="134"/>
  <c r="H17" i="134"/>
  <c r="E17" i="134"/>
  <c r="D17" i="134"/>
  <c r="C17" i="134"/>
  <c r="J16" i="134"/>
  <c r="E16" i="134"/>
  <c r="J15" i="134"/>
  <c r="E15" i="134"/>
  <c r="J14" i="134"/>
  <c r="E14" i="134"/>
  <c r="J13" i="134"/>
  <c r="E13" i="134"/>
  <c r="J12" i="134"/>
  <c r="E12" i="134"/>
  <c r="J11" i="134"/>
  <c r="E11" i="134"/>
  <c r="J10" i="134"/>
  <c r="E10" i="134"/>
  <c r="H79" i="126"/>
  <c r="J9" i="134"/>
  <c r="E9" i="134"/>
  <c r="G79" i="126"/>
  <c r="H74" i="117" s="1"/>
  <c r="H75" i="117" s="1"/>
  <c r="J8" i="134"/>
  <c r="E8" i="134"/>
  <c r="F79" i="126"/>
  <c r="G74" i="117" s="1"/>
  <c r="G75" i="117" s="1"/>
  <c r="J7" i="134"/>
  <c r="E7" i="134"/>
  <c r="J6" i="134"/>
  <c r="E6" i="134"/>
  <c r="O5" i="134"/>
  <c r="D79" i="126" s="1"/>
  <c r="J5" i="134"/>
  <c r="E5" i="134"/>
  <c r="H115" i="58"/>
  <c r="G115" i="58"/>
  <c r="J114" i="58"/>
  <c r="I114" i="58"/>
  <c r="F114" i="58"/>
  <c r="F116" i="58" s="1"/>
  <c r="J105" i="58"/>
  <c r="J118" i="58" s="1"/>
  <c r="I105" i="58"/>
  <c r="I118" i="58" s="1"/>
  <c r="H105" i="58"/>
  <c r="H118" i="58" s="1"/>
  <c r="G105" i="58"/>
  <c r="G118" i="58" s="1"/>
  <c r="F105" i="58"/>
  <c r="F118" i="58" s="1"/>
  <c r="M80" i="58"/>
  <c r="L80" i="58"/>
  <c r="R79" i="58"/>
  <c r="P79" i="58"/>
  <c r="E79" i="58"/>
  <c r="C5" i="140" s="1"/>
  <c r="M78" i="58"/>
  <c r="L78" i="58"/>
  <c r="O77" i="58"/>
  <c r="J77" i="58"/>
  <c r="G77" i="58"/>
  <c r="O76" i="58"/>
  <c r="J76" i="58"/>
  <c r="G76" i="58"/>
  <c r="O75" i="58"/>
  <c r="J75" i="58"/>
  <c r="G75" i="58"/>
  <c r="O74" i="58"/>
  <c r="G74" i="58"/>
  <c r="G73" i="58"/>
  <c r="B71" i="58"/>
  <c r="B72" i="58" s="1"/>
  <c r="B73" i="58" s="1"/>
  <c r="B74" i="58" s="1"/>
  <c r="B75" i="58" s="1"/>
  <c r="B76" i="58" s="1"/>
  <c r="B77" i="58" s="1"/>
  <c r="B78" i="58" s="1"/>
  <c r="B79" i="58" s="1"/>
  <c r="B80" i="58" s="1"/>
  <c r="R52" i="58"/>
  <c r="Q52" i="58"/>
  <c r="P52" i="58"/>
  <c r="N52" i="58"/>
  <c r="K52" i="58"/>
  <c r="I52" i="58"/>
  <c r="E114" i="78" s="1"/>
  <c r="H52" i="58"/>
  <c r="D114" i="78" s="1"/>
  <c r="F52" i="58"/>
  <c r="E52" i="78" s="1"/>
  <c r="E52" i="58"/>
  <c r="D52" i="78" s="1"/>
  <c r="R50" i="58"/>
  <c r="P50" i="58"/>
  <c r="K50" i="58"/>
  <c r="H50" i="58"/>
  <c r="D112" i="78" s="1"/>
  <c r="E50" i="58"/>
  <c r="D50" i="78" s="1"/>
  <c r="S48" i="58"/>
  <c r="Q48" i="58"/>
  <c r="P48" i="58"/>
  <c r="N48" i="58"/>
  <c r="M48" i="58"/>
  <c r="L48" i="58"/>
  <c r="E48" i="58"/>
  <c r="D48" i="78" s="1"/>
  <c r="S47" i="58"/>
  <c r="R47" i="58"/>
  <c r="Q47" i="58"/>
  <c r="P47" i="58"/>
  <c r="N47" i="58"/>
  <c r="M47" i="58"/>
  <c r="L47" i="58"/>
  <c r="K47" i="58"/>
  <c r="I47" i="58"/>
  <c r="E109" i="78" s="1"/>
  <c r="H47" i="58"/>
  <c r="D109" i="78" s="1"/>
  <c r="F47" i="58"/>
  <c r="E47" i="78" s="1"/>
  <c r="E47" i="58"/>
  <c r="D47" i="78" s="1"/>
  <c r="S46" i="58"/>
  <c r="R46" i="58"/>
  <c r="Q46" i="58"/>
  <c r="P46" i="58"/>
  <c r="M46" i="58"/>
  <c r="L46" i="58"/>
  <c r="K46" i="58"/>
  <c r="I46" i="58"/>
  <c r="E108" i="78" s="1"/>
  <c r="H46" i="58"/>
  <c r="D108" i="78" s="1"/>
  <c r="E46" i="78"/>
  <c r="E46" i="58"/>
  <c r="D46" i="78" s="1"/>
  <c r="R45" i="58"/>
  <c r="P45" i="58"/>
  <c r="M45" i="58"/>
  <c r="L45" i="58"/>
  <c r="K45" i="58"/>
  <c r="I45" i="58"/>
  <c r="E107" i="78" s="1"/>
  <c r="H45" i="58"/>
  <c r="D107" i="78" s="1"/>
  <c r="F45" i="58"/>
  <c r="E45" i="78" s="1"/>
  <c r="E45" i="58"/>
  <c r="D45" i="78" s="1"/>
  <c r="F44" i="58"/>
  <c r="E44" i="78" s="1"/>
  <c r="E44" i="58"/>
  <c r="D44" i="78" s="1"/>
  <c r="F44" i="78" s="1"/>
  <c r="F40" i="58"/>
  <c r="E69" i="54" s="1"/>
  <c r="R39" i="58"/>
  <c r="P39" i="58"/>
  <c r="K39" i="58"/>
  <c r="H39" i="58"/>
  <c r="D101" i="78" s="1"/>
  <c r="B39" i="58"/>
  <c r="B40" i="58" s="1"/>
  <c r="B41" i="58" s="1"/>
  <c r="B42" i="58" s="1"/>
  <c r="B43" i="58" s="1"/>
  <c r="B44" i="58" s="1"/>
  <c r="B45" i="58" s="1"/>
  <c r="B46" i="58" s="1"/>
  <c r="B47" i="58" s="1"/>
  <c r="B48" i="58" s="1"/>
  <c r="B49" i="58" s="1"/>
  <c r="B50" i="58" s="1"/>
  <c r="B51" i="58" s="1"/>
  <c r="B52" i="58" s="1"/>
  <c r="B53" i="58" s="1"/>
  <c r="B54" i="58" s="1"/>
  <c r="B55" i="58" s="1"/>
  <c r="B56" i="58" s="1"/>
  <c r="B57" i="58" s="1"/>
  <c r="B58" i="58" s="1"/>
  <c r="B59" i="58" s="1"/>
  <c r="O25" i="58"/>
  <c r="S24" i="58"/>
  <c r="R24" i="58"/>
  <c r="Q24" i="58"/>
  <c r="P24" i="58"/>
  <c r="N24" i="58"/>
  <c r="O24" i="58" s="1"/>
  <c r="M24" i="58"/>
  <c r="L24" i="58"/>
  <c r="K24" i="58"/>
  <c r="I24" i="58"/>
  <c r="E83" i="78" s="1"/>
  <c r="H24" i="58"/>
  <c r="D83" i="78" s="1"/>
  <c r="F24" i="58"/>
  <c r="E22" i="78" s="1"/>
  <c r="E24" i="58"/>
  <c r="D22" i="78" s="1"/>
  <c r="R22" i="58"/>
  <c r="P22" i="58"/>
  <c r="K22" i="58"/>
  <c r="H22" i="58"/>
  <c r="D81" i="78" s="1"/>
  <c r="E22" i="58"/>
  <c r="D20" i="78" s="1"/>
  <c r="S20" i="58"/>
  <c r="R20" i="58"/>
  <c r="Q20" i="58"/>
  <c r="P20" i="58"/>
  <c r="N20" i="58"/>
  <c r="M20" i="58"/>
  <c r="L20" i="58"/>
  <c r="K20" i="58"/>
  <c r="H20" i="58"/>
  <c r="D79" i="78" s="1"/>
  <c r="E20" i="58"/>
  <c r="D18" i="78" s="1"/>
  <c r="R19" i="58"/>
  <c r="P19" i="58"/>
  <c r="M19" i="58"/>
  <c r="L19" i="58"/>
  <c r="K19" i="58"/>
  <c r="I19" i="58"/>
  <c r="I41" i="76" s="1"/>
  <c r="H19" i="58"/>
  <c r="D78" i="78" s="1"/>
  <c r="F19" i="58"/>
  <c r="E19" i="58"/>
  <c r="D17" i="78" s="1"/>
  <c r="S18" i="58"/>
  <c r="R18" i="58"/>
  <c r="Q18" i="58"/>
  <c r="P18" i="58"/>
  <c r="N18" i="58"/>
  <c r="M18" i="58"/>
  <c r="L18" i="58"/>
  <c r="K18" i="58"/>
  <c r="I18" i="58"/>
  <c r="E77" i="78" s="1"/>
  <c r="H18" i="58"/>
  <c r="D77" i="78" s="1"/>
  <c r="F18" i="58"/>
  <c r="E16" i="78" s="1"/>
  <c r="E18" i="58"/>
  <c r="D16" i="78" s="1"/>
  <c r="M17" i="58"/>
  <c r="E16" i="58"/>
  <c r="D14" i="78" s="1"/>
  <c r="R15" i="58"/>
  <c r="P15" i="58"/>
  <c r="K15" i="58"/>
  <c r="H15" i="58"/>
  <c r="D74" i="78" s="1"/>
  <c r="E15" i="58"/>
  <c r="D13" i="78" s="1"/>
  <c r="F14" i="58"/>
  <c r="B14" i="58"/>
  <c r="B15" i="58" s="1"/>
  <c r="B16" i="58" s="1"/>
  <c r="B17" i="58" s="1"/>
  <c r="B18" i="58" s="1"/>
  <c r="B19" i="58" s="1"/>
  <c r="B20" i="58" s="1"/>
  <c r="B21" i="58" s="1"/>
  <c r="B22" i="58" s="1"/>
  <c r="B23" i="58" s="1"/>
  <c r="B24" i="58" s="1"/>
  <c r="B25" i="58" s="1"/>
  <c r="B26" i="58" s="1"/>
  <c r="B27" i="58" s="1"/>
  <c r="B28" i="58" s="1"/>
  <c r="B29" i="58" s="1"/>
  <c r="R13" i="58"/>
  <c r="P13" i="58"/>
  <c r="K13" i="58"/>
  <c r="H13" i="58"/>
  <c r="D72" i="78" s="1"/>
  <c r="B49" i="57"/>
  <c r="B48" i="57"/>
  <c r="B47" i="57"/>
  <c r="B46" i="57"/>
  <c r="B45" i="57"/>
  <c r="B44" i="57"/>
  <c r="B43" i="57"/>
  <c r="B42" i="57"/>
  <c r="B41" i="57"/>
  <c r="B40" i="57"/>
  <c r="B39" i="57"/>
  <c r="B38" i="57"/>
  <c r="B37" i="57"/>
  <c r="B36" i="57"/>
  <c r="B35" i="57"/>
  <c r="B34" i="57"/>
  <c r="B33" i="57"/>
  <c r="B32" i="57"/>
  <c r="B31" i="57"/>
  <c r="B30" i="57"/>
  <c r="B29" i="57"/>
  <c r="B28" i="57"/>
  <c r="B27" i="57"/>
  <c r="B26" i="57"/>
  <c r="B25" i="57"/>
  <c r="B24" i="57"/>
  <c r="B23" i="57"/>
  <c r="B22" i="57"/>
  <c r="B21" i="57"/>
  <c r="B20" i="57"/>
  <c r="B19" i="57"/>
  <c r="B18" i="57"/>
  <c r="B17" i="57"/>
  <c r="B16" i="57"/>
  <c r="B15" i="57"/>
  <c r="B14" i="57"/>
  <c r="B13" i="57"/>
  <c r="B12" i="57"/>
  <c r="B11" i="57"/>
  <c r="B10" i="57"/>
  <c r="G92" i="130"/>
  <c r="F92" i="130"/>
  <c r="E92" i="130"/>
  <c r="D92" i="130"/>
  <c r="C92" i="130"/>
  <c r="B92" i="130"/>
  <c r="G91" i="130"/>
  <c r="F91" i="130"/>
  <c r="E91" i="130"/>
  <c r="D91" i="130"/>
  <c r="C91" i="130"/>
  <c r="C89" i="130"/>
  <c r="B89" i="130"/>
  <c r="C88" i="130"/>
  <c r="B88" i="130"/>
  <c r="C85" i="130"/>
  <c r="B85" i="130"/>
  <c r="C74" i="130"/>
  <c r="G73" i="130"/>
  <c r="F73" i="130"/>
  <c r="E73" i="130"/>
  <c r="G72" i="130"/>
  <c r="F72" i="130"/>
  <c r="E72" i="130"/>
  <c r="D72" i="130"/>
  <c r="E71" i="130"/>
  <c r="G70" i="130"/>
  <c r="F70" i="130"/>
  <c r="E70" i="130"/>
  <c r="D70" i="130"/>
  <c r="L63" i="130"/>
  <c r="K63" i="130"/>
  <c r="J63" i="130"/>
  <c r="I63" i="130"/>
  <c r="H63" i="130"/>
  <c r="G63" i="130"/>
  <c r="F63" i="130"/>
  <c r="E63" i="130"/>
  <c r="D63" i="130"/>
  <c r="C63" i="130"/>
  <c r="C58" i="130"/>
  <c r="I57" i="130"/>
  <c r="J57" i="130" s="1"/>
  <c r="K57" i="130" s="1"/>
  <c r="L57" i="130" s="1"/>
  <c r="G52" i="130"/>
  <c r="F52" i="130"/>
  <c r="E52" i="130"/>
  <c r="D52" i="130"/>
  <c r="C52" i="130"/>
  <c r="G50" i="130"/>
  <c r="F50" i="130"/>
  <c r="E50" i="130"/>
  <c r="D50" i="130"/>
  <c r="C50" i="130"/>
  <c r="G48" i="130"/>
  <c r="F48" i="130"/>
  <c r="E48" i="130"/>
  <c r="D48" i="130"/>
  <c r="C48" i="130"/>
  <c r="G45" i="130"/>
  <c r="F45" i="130"/>
  <c r="E45" i="130"/>
  <c r="D45" i="130"/>
  <c r="G44" i="130"/>
  <c r="F44" i="130"/>
  <c r="E44" i="130"/>
  <c r="D44" i="130"/>
  <c r="G43" i="130"/>
  <c r="F43" i="130"/>
  <c r="E43" i="130"/>
  <c r="D43" i="130"/>
  <c r="G39" i="130"/>
  <c r="F39" i="130"/>
  <c r="E39" i="130"/>
  <c r="G38" i="130"/>
  <c r="F38" i="130"/>
  <c r="E38" i="130"/>
  <c r="G37" i="130"/>
  <c r="F37" i="130"/>
  <c r="E37" i="130"/>
  <c r="G36" i="130"/>
  <c r="F36" i="130"/>
  <c r="E36" i="130"/>
  <c r="G35" i="130"/>
  <c r="F35" i="130"/>
  <c r="E35" i="130"/>
  <c r="G34" i="130"/>
  <c r="F34" i="130"/>
  <c r="E34" i="130"/>
  <c r="H31" i="130"/>
  <c r="H30" i="130"/>
  <c r="H28" i="130"/>
  <c r="H27" i="130"/>
  <c r="C21" i="130"/>
  <c r="C15" i="130"/>
  <c r="C14" i="130"/>
  <c r="O13" i="130"/>
  <c r="O12" i="130"/>
  <c r="O11" i="130"/>
  <c r="O10" i="130"/>
  <c r="O9" i="130"/>
  <c r="C50" i="135"/>
  <c r="E48" i="135"/>
  <c r="E50" i="135" s="1"/>
  <c r="E74" i="130" s="1"/>
  <c r="F74" i="130" s="1"/>
  <c r="D50" i="135"/>
  <c r="D74" i="130" s="1"/>
  <c r="C48" i="135"/>
  <c r="E47" i="135"/>
  <c r="C47" i="135"/>
  <c r="C46" i="135"/>
  <c r="J38" i="135"/>
  <c r="J37" i="135"/>
  <c r="I37" i="135"/>
  <c r="J36" i="135"/>
  <c r="I36" i="135"/>
  <c r="H36" i="135"/>
  <c r="G36" i="135"/>
  <c r="F36" i="135"/>
  <c r="E36" i="135"/>
  <c r="D36" i="135"/>
  <c r="C36" i="135"/>
  <c r="J35" i="135"/>
  <c r="I35" i="135"/>
  <c r="H35" i="135"/>
  <c r="G35" i="135"/>
  <c r="F35" i="135"/>
  <c r="E35" i="135"/>
  <c r="D35" i="135"/>
  <c r="C35" i="135"/>
  <c r="B35" i="135"/>
  <c r="G19" i="135"/>
  <c r="F19" i="135"/>
  <c r="G18" i="135"/>
  <c r="F18" i="135"/>
  <c r="E18" i="135"/>
  <c r="D18" i="135"/>
  <c r="C18" i="135"/>
  <c r="B18" i="135"/>
  <c r="G17" i="135"/>
  <c r="F17" i="135"/>
  <c r="E17" i="135"/>
  <c r="D17" i="135"/>
  <c r="C17" i="135"/>
  <c r="B17" i="135"/>
  <c r="F15" i="69" l="1"/>
  <c r="F17" i="69" s="1"/>
  <c r="D88" i="126"/>
  <c r="E79" i="117" s="1"/>
  <c r="D27" i="69"/>
  <c r="D29" i="69" s="1"/>
  <c r="F27" i="65" s="1"/>
  <c r="D57" i="140"/>
  <c r="E204" i="126"/>
  <c r="E205" i="126" s="1"/>
  <c r="P112" i="126"/>
  <c r="P116" i="126" s="1"/>
  <c r="C57" i="140"/>
  <c r="D204" i="126"/>
  <c r="D205" i="126" s="1"/>
  <c r="D193" i="126"/>
  <c r="F140" i="126"/>
  <c r="E145" i="126"/>
  <c r="I137" i="117" s="1"/>
  <c r="D79" i="117" s="1"/>
  <c r="M97" i="82" s="1"/>
  <c r="I163" i="126"/>
  <c r="I164" i="126" s="1"/>
  <c r="F200" i="126" s="1"/>
  <c r="H164" i="126"/>
  <c r="I176" i="126"/>
  <c r="I180" i="126"/>
  <c r="G12" i="69"/>
  <c r="G15" i="69" s="1"/>
  <c r="G17" i="69" s="1"/>
  <c r="M14" i="65" s="1"/>
  <c r="P108" i="126"/>
  <c r="Q97" i="82" s="1"/>
  <c r="F147" i="126"/>
  <c r="F152" i="126" s="1"/>
  <c r="H43" i="68"/>
  <c r="I179" i="126"/>
  <c r="D223" i="126"/>
  <c r="C122" i="88"/>
  <c r="G122" i="88"/>
  <c r="G127" i="88" s="1"/>
  <c r="I91" i="117" s="1"/>
  <c r="K175" i="117"/>
  <c r="O175" i="117"/>
  <c r="B106" i="129"/>
  <c r="C37" i="100"/>
  <c r="M37" i="100" s="1"/>
  <c r="M44" i="100" s="1"/>
  <c r="M46" i="100" s="1"/>
  <c r="E88" i="126"/>
  <c r="F79" i="117" s="1"/>
  <c r="F74" i="117"/>
  <c r="F75" i="117" s="1"/>
  <c r="E122" i="88"/>
  <c r="H14" i="69"/>
  <c r="B104" i="129"/>
  <c r="C14" i="100"/>
  <c r="C37" i="137"/>
  <c r="M37" i="137" s="1"/>
  <c r="C14" i="88"/>
  <c r="D40" i="122" s="1"/>
  <c r="D39" i="122" s="1"/>
  <c r="P63" i="126"/>
  <c r="P71" i="126" s="1"/>
  <c r="D66" i="126"/>
  <c r="E137" i="88" s="1"/>
  <c r="O71" i="126"/>
  <c r="J79" i="117"/>
  <c r="J82" i="117" s="1"/>
  <c r="I82" i="126"/>
  <c r="J59" i="117" s="1"/>
  <c r="J164" i="117" s="1"/>
  <c r="J166" i="117" s="1"/>
  <c r="F122" i="88"/>
  <c r="N175" i="117"/>
  <c r="B105" i="129"/>
  <c r="C20" i="100"/>
  <c r="C29" i="100"/>
  <c r="M29" i="100" s="1"/>
  <c r="H88" i="126"/>
  <c r="H91" i="126"/>
  <c r="I81" i="117" s="1"/>
  <c r="I74" i="117"/>
  <c r="I75" i="117" s="1"/>
  <c r="E66" i="126"/>
  <c r="F137" i="88" s="1"/>
  <c r="O166" i="117"/>
  <c r="D91" i="126"/>
  <c r="E81" i="117" s="1"/>
  <c r="E74" i="117"/>
  <c r="E75" i="117" s="1"/>
  <c r="B66" i="126"/>
  <c r="C137" i="88" s="1"/>
  <c r="C142" i="88" s="1"/>
  <c r="E111" i="117" s="1"/>
  <c r="O82" i="126"/>
  <c r="P59" i="117" s="1"/>
  <c r="L175" i="117"/>
  <c r="B107" i="129"/>
  <c r="O7" i="133"/>
  <c r="P5" i="133" s="1"/>
  <c r="P7" i="133" s="1"/>
  <c r="R5" i="133" s="1"/>
  <c r="R7" i="133" s="1"/>
  <c r="S5" i="133" s="1"/>
  <c r="S7" i="133" s="1"/>
  <c r="Q5" i="133"/>
  <c r="Q7" i="133" s="1"/>
  <c r="G10" i="133"/>
  <c r="I10" i="133"/>
  <c r="B11" i="133" s="1"/>
  <c r="M26" i="133"/>
  <c r="M32" i="133" s="1"/>
  <c r="E41" i="54"/>
  <c r="E91" i="54" s="1"/>
  <c r="I22" i="54"/>
  <c r="L15" i="113"/>
  <c r="N13" i="72"/>
  <c r="L20" i="113"/>
  <c r="N19" i="72"/>
  <c r="X34" i="113"/>
  <c r="Z34" i="113" s="1"/>
  <c r="N34" i="113"/>
  <c r="E22" i="72"/>
  <c r="I22" i="72"/>
  <c r="E46" i="72"/>
  <c r="D241" i="126" s="1"/>
  <c r="X38" i="113"/>
  <c r="Z38" i="113" s="1"/>
  <c r="N38" i="113"/>
  <c r="H46" i="72"/>
  <c r="X19" i="113"/>
  <c r="N19" i="113"/>
  <c r="M16" i="72"/>
  <c r="J22" i="72"/>
  <c r="L21" i="113"/>
  <c r="N20" i="72"/>
  <c r="K38" i="72"/>
  <c r="K46" i="72" s="1"/>
  <c r="M36" i="72"/>
  <c r="F46" i="72"/>
  <c r="AD40" i="113"/>
  <c r="X40" i="113"/>
  <c r="Z40" i="113" s="1"/>
  <c r="N40" i="113"/>
  <c r="AF40" i="113" s="1"/>
  <c r="I46" i="72"/>
  <c r="AD37" i="113"/>
  <c r="X37" i="113"/>
  <c r="Z37" i="113" s="1"/>
  <c r="N37" i="113"/>
  <c r="AF37" i="113" s="1"/>
  <c r="X39" i="113"/>
  <c r="Z39" i="113" s="1"/>
  <c r="AD39" i="113"/>
  <c r="N39" i="113"/>
  <c r="AF39" i="113" s="1"/>
  <c r="F38" i="72"/>
  <c r="D14" i="72"/>
  <c r="D22" i="72" s="1"/>
  <c r="K17" i="72"/>
  <c r="M17" i="72" s="1"/>
  <c r="M40" i="72"/>
  <c r="I14" i="113"/>
  <c r="G22" i="113"/>
  <c r="K12" i="72"/>
  <c r="E14" i="113"/>
  <c r="E22" i="113" s="1"/>
  <c r="C22" i="113"/>
  <c r="F40" i="76"/>
  <c r="O47" i="58"/>
  <c r="F53" i="78"/>
  <c r="G19" i="58"/>
  <c r="J47" i="58"/>
  <c r="E40" i="78"/>
  <c r="E18" i="54"/>
  <c r="F18" i="54" s="1"/>
  <c r="G24" i="58"/>
  <c r="J45" i="58"/>
  <c r="G46" i="58"/>
  <c r="O52" i="58"/>
  <c r="E17" i="78"/>
  <c r="F17" i="78" s="1"/>
  <c r="F46" i="78"/>
  <c r="J18" i="58"/>
  <c r="O18" i="58"/>
  <c r="F23" i="78"/>
  <c r="E78" i="78"/>
  <c r="F78" i="78" s="1"/>
  <c r="F69" i="54"/>
  <c r="H65" i="54"/>
  <c r="F108" i="78"/>
  <c r="F114" i="78"/>
  <c r="G45" i="58"/>
  <c r="G44" i="58"/>
  <c r="H44" i="58" s="1"/>
  <c r="D106" i="78" s="1"/>
  <c r="J52" i="58"/>
  <c r="E12" i="78"/>
  <c r="F12" i="78" s="1"/>
  <c r="F16" i="78"/>
  <c r="F45" i="78"/>
  <c r="F83" i="78"/>
  <c r="G18" i="58"/>
  <c r="J24" i="58"/>
  <c r="G47" i="58"/>
  <c r="F77" i="78"/>
  <c r="F109" i="78"/>
  <c r="G14" i="58"/>
  <c r="F41" i="76"/>
  <c r="F42" i="76" s="1"/>
  <c r="J19" i="58"/>
  <c r="G40" i="58"/>
  <c r="J46" i="58"/>
  <c r="F52" i="78"/>
  <c r="G65" i="54"/>
  <c r="F54" i="78"/>
  <c r="F84" i="78"/>
  <c r="G113" i="58"/>
  <c r="F117" i="58"/>
  <c r="F119" i="58" s="1"/>
  <c r="F22" i="78"/>
  <c r="F40" i="78"/>
  <c r="F47" i="78"/>
  <c r="F55" i="78"/>
  <c r="F107" i="78"/>
  <c r="F116" i="78"/>
  <c r="T14" i="136"/>
  <c r="T26" i="136" s="1"/>
  <c r="K31" i="137"/>
  <c r="N31" i="137" s="1"/>
  <c r="K31" i="100"/>
  <c r="N31" i="100" s="1"/>
  <c r="N31" i="99"/>
  <c r="T14" i="137"/>
  <c r="T26" i="137" s="1"/>
  <c r="T14" i="100"/>
  <c r="T26" i="100" s="1"/>
  <c r="T26" i="99"/>
  <c r="T31" i="100"/>
  <c r="T31" i="137"/>
  <c r="T38" i="137"/>
  <c r="T38" i="100"/>
  <c r="T44" i="99"/>
  <c r="K38" i="99"/>
  <c r="T31" i="136"/>
  <c r="K31" i="136"/>
  <c r="N31" i="136" s="1"/>
  <c r="N44" i="136" s="1"/>
  <c r="T38" i="136"/>
  <c r="N14" i="99"/>
  <c r="N26" i="136"/>
  <c r="K14" i="137"/>
  <c r="N14" i="137" s="1"/>
  <c r="N26" i="137" s="1"/>
  <c r="G71" i="126"/>
  <c r="D71" i="126"/>
  <c r="F71" i="126"/>
  <c r="E71" i="126"/>
  <c r="H134" i="88"/>
  <c r="E134" i="88"/>
  <c r="N46" i="58"/>
  <c r="O46" i="58" s="1"/>
  <c r="F16" i="61"/>
  <c r="G16" i="61" s="1"/>
  <c r="J81" i="82"/>
  <c r="G88" i="82"/>
  <c r="M175" i="117"/>
  <c r="Q40" i="131"/>
  <c r="U40" i="131"/>
  <c r="P53" i="131"/>
  <c r="Z40" i="131"/>
  <c r="S53" i="131"/>
  <c r="AA39" i="131"/>
  <c r="F43" i="127" s="1"/>
  <c r="R40" i="131"/>
  <c r="V40" i="131"/>
  <c r="AA36" i="131"/>
  <c r="F40" i="127" s="1"/>
  <c r="P40" i="131"/>
  <c r="T40" i="131"/>
  <c r="X40" i="131"/>
  <c r="AA33" i="131"/>
  <c r="F35" i="127" s="1"/>
  <c r="AA37" i="131"/>
  <c r="F41" i="127" s="1"/>
  <c r="R45" i="131"/>
  <c r="V45" i="131"/>
  <c r="Z45" i="131"/>
  <c r="Z53" i="131" s="1"/>
  <c r="Q46" i="131"/>
  <c r="Q53" i="131" s="1"/>
  <c r="U46" i="131"/>
  <c r="Y46" i="131"/>
  <c r="R49" i="131"/>
  <c r="V49" i="131"/>
  <c r="Z49" i="131"/>
  <c r="Q50" i="131"/>
  <c r="U50" i="131"/>
  <c r="AA50" i="131" s="1"/>
  <c r="K41" i="127" s="1"/>
  <c r="Y50" i="131"/>
  <c r="P51" i="131"/>
  <c r="T51" i="131"/>
  <c r="T53" i="131" s="1"/>
  <c r="X51" i="131"/>
  <c r="X53" i="131" s="1"/>
  <c r="O52" i="131"/>
  <c r="AA52" i="131" s="1"/>
  <c r="K43" i="127" s="1"/>
  <c r="S52" i="131"/>
  <c r="W52" i="131"/>
  <c r="W53" i="131" s="1"/>
  <c r="L32" i="90"/>
  <c r="J38" i="90"/>
  <c r="U59" i="131" s="1"/>
  <c r="C44" i="127"/>
  <c r="AA20" i="131"/>
  <c r="C35" i="127" s="1"/>
  <c r="AA45" i="131"/>
  <c r="AA19" i="131"/>
  <c r="O40" i="131"/>
  <c r="S40" i="131"/>
  <c r="W40" i="131"/>
  <c r="AA32" i="131"/>
  <c r="AA38" i="131"/>
  <c r="F42" i="127" s="1"/>
  <c r="AA49" i="131"/>
  <c r="K40" i="127" s="1"/>
  <c r="W61" i="131"/>
  <c r="W63" i="131"/>
  <c r="L38" i="90"/>
  <c r="R59" i="131"/>
  <c r="T61" i="131"/>
  <c r="Z62" i="131"/>
  <c r="R64" i="131"/>
  <c r="T65" i="131"/>
  <c r="Q59" i="131"/>
  <c r="O63" i="131"/>
  <c r="Q58" i="131"/>
  <c r="S59" i="131"/>
  <c r="Y61" i="131"/>
  <c r="Q63" i="131"/>
  <c r="S64" i="131"/>
  <c r="C71" i="126"/>
  <c r="M125" i="88"/>
  <c r="L125" i="88"/>
  <c r="I125" i="88"/>
  <c r="I140" i="88"/>
  <c r="N55" i="126"/>
  <c r="J69" i="126"/>
  <c r="K140" i="88" s="1"/>
  <c r="N56" i="126"/>
  <c r="H70" i="126"/>
  <c r="L70" i="126"/>
  <c r="M141" i="88" s="1"/>
  <c r="J125" i="88"/>
  <c r="N125" i="88"/>
  <c r="I70" i="126"/>
  <c r="J141" i="88" s="1"/>
  <c r="M70" i="126"/>
  <c r="N141" i="88" s="1"/>
  <c r="M35" i="88"/>
  <c r="F43" i="88"/>
  <c r="F45" i="88" s="1"/>
  <c r="K86" i="58" s="1"/>
  <c r="M43" i="88"/>
  <c r="K35" i="88"/>
  <c r="K13" i="121" s="1"/>
  <c r="K14" i="121" s="1"/>
  <c r="C38" i="72"/>
  <c r="C33" i="113"/>
  <c r="G52" i="58"/>
  <c r="D110" i="78"/>
  <c r="O48" i="58"/>
  <c r="O20" i="58"/>
  <c r="F74" i="61"/>
  <c r="F75" i="61" s="1"/>
  <c r="M16" i="58"/>
  <c r="E42" i="58"/>
  <c r="D42" i="78" s="1"/>
  <c r="K61" i="61"/>
  <c r="L61" i="61" s="1"/>
  <c r="L17" i="58"/>
  <c r="H75" i="61"/>
  <c r="K17" i="58" s="1"/>
  <c r="K21" i="58" s="1"/>
  <c r="K23" i="58" s="1"/>
  <c r="K26" i="58" s="1"/>
  <c r="K70" i="58" s="1"/>
  <c r="G27" i="61"/>
  <c r="O68" i="61"/>
  <c r="R16" i="58" s="1"/>
  <c r="R21" i="58" s="1"/>
  <c r="R23" i="58" s="1"/>
  <c r="R26" i="58" s="1"/>
  <c r="R70" i="58" s="1"/>
  <c r="E17" i="58"/>
  <c r="D15" i="78" s="1"/>
  <c r="F15" i="78" s="1"/>
  <c r="E68" i="61"/>
  <c r="H16" i="58" s="1"/>
  <c r="L16" i="58"/>
  <c r="H69" i="61"/>
  <c r="K42" i="58" s="1"/>
  <c r="M75" i="61"/>
  <c r="P17" i="58" s="1"/>
  <c r="P21" i="58" s="1"/>
  <c r="P23" i="58" s="1"/>
  <c r="P26" i="58" s="1"/>
  <c r="P70" i="58" s="1"/>
  <c r="M69" i="61"/>
  <c r="P42" i="58" s="1"/>
  <c r="E76" i="61"/>
  <c r="H43" i="58" s="1"/>
  <c r="D105" i="78" s="1"/>
  <c r="O76" i="61"/>
  <c r="R43" i="58" s="1"/>
  <c r="G15" i="61"/>
  <c r="G61" i="61"/>
  <c r="H11" i="120"/>
  <c r="I11" i="120" s="1"/>
  <c r="H15" i="120"/>
  <c r="E26" i="120"/>
  <c r="F26" i="120" s="1"/>
  <c r="E30" i="120"/>
  <c r="L14" i="55"/>
  <c r="K22" i="55"/>
  <c r="L16" i="55"/>
  <c r="L22" i="55" s="1"/>
  <c r="I21" i="116"/>
  <c r="I17" i="116" s="1"/>
  <c r="H33" i="55"/>
  <c r="E15" i="120"/>
  <c r="M17" i="54"/>
  <c r="N17" i="54" s="1"/>
  <c r="F13" i="120"/>
  <c r="M21" i="115"/>
  <c r="M17" i="115" s="1"/>
  <c r="F13" i="65"/>
  <c r="I13" i="65"/>
  <c r="G30" i="82"/>
  <c r="D20" i="122" s="1"/>
  <c r="J113" i="82"/>
  <c r="J144" i="82"/>
  <c r="J36" i="82"/>
  <c r="R36" i="82" s="1"/>
  <c r="F36" i="82"/>
  <c r="G33" i="82"/>
  <c r="N45" i="82"/>
  <c r="Q45" i="82" s="1"/>
  <c r="R45" i="82" s="1"/>
  <c r="N80" i="82"/>
  <c r="N88" i="82" s="1"/>
  <c r="G152" i="82"/>
  <c r="F38" i="58"/>
  <c r="E38" i="78" s="1"/>
  <c r="F38" i="78" s="1"/>
  <c r="G32" i="82"/>
  <c r="K144" i="126"/>
  <c r="F239" i="126" s="1"/>
  <c r="Q144" i="82"/>
  <c r="R144" i="82" s="1"/>
  <c r="N152" i="82"/>
  <c r="R29" i="82"/>
  <c r="R66" i="82"/>
  <c r="G29" i="82"/>
  <c r="R30" i="82"/>
  <c r="J46" i="82"/>
  <c r="J80" i="82"/>
  <c r="F40" i="122"/>
  <c r="F39" i="122" s="1"/>
  <c r="E13" i="121"/>
  <c r="E14" i="121" s="1"/>
  <c r="G19" i="90" s="1"/>
  <c r="L40" i="122"/>
  <c r="L39" i="122" s="1"/>
  <c r="M13" i="121"/>
  <c r="M14" i="121" s="1"/>
  <c r="G38" i="90" s="1"/>
  <c r="J45" i="122"/>
  <c r="J44" i="122" s="1"/>
  <c r="K45" i="88"/>
  <c r="P86" i="58" s="1"/>
  <c r="K15" i="121"/>
  <c r="G13" i="121"/>
  <c r="G14" i="121" s="1"/>
  <c r="G25" i="90" s="1"/>
  <c r="H40" i="122"/>
  <c r="H39" i="122" s="1"/>
  <c r="G15" i="121"/>
  <c r="G16" i="121" s="1"/>
  <c r="H25" i="90" s="1"/>
  <c r="E25" i="90" s="1"/>
  <c r="I25" i="90" s="1"/>
  <c r="K25" i="90" s="1"/>
  <c r="L45" i="122"/>
  <c r="L44" i="122" s="1"/>
  <c r="M15" i="121"/>
  <c r="M45" i="88"/>
  <c r="R86" i="58" s="1"/>
  <c r="E15" i="121"/>
  <c r="C45" i="88"/>
  <c r="F45" i="122"/>
  <c r="F44" i="122" s="1"/>
  <c r="C45" i="72"/>
  <c r="C46" i="72" s="1"/>
  <c r="L36" i="122"/>
  <c r="G74" i="130"/>
  <c r="F71" i="130"/>
  <c r="G71" i="130" s="1"/>
  <c r="F43" i="58"/>
  <c r="O29" i="126"/>
  <c r="N38" i="126"/>
  <c r="M52" i="126"/>
  <c r="N122" i="88" s="1"/>
  <c r="L82" i="126"/>
  <c r="M59" i="117" s="1"/>
  <c r="M164" i="117" s="1"/>
  <c r="M166" i="117" s="1"/>
  <c r="I85" i="126"/>
  <c r="J61" i="117" s="1"/>
  <c r="I166" i="126"/>
  <c r="I174" i="126"/>
  <c r="N36" i="126"/>
  <c r="N134" i="88"/>
  <c r="H52" i="126"/>
  <c r="I122" i="88" s="1"/>
  <c r="K124" i="88"/>
  <c r="M82" i="126"/>
  <c r="N59" i="117" s="1"/>
  <c r="N164" i="117" s="1"/>
  <c r="N166" i="117" s="1"/>
  <c r="M85" i="126"/>
  <c r="N61" i="117" s="1"/>
  <c r="E223" i="126"/>
  <c r="J119" i="88"/>
  <c r="I52" i="126"/>
  <c r="J122" i="88" s="1"/>
  <c r="L124" i="88"/>
  <c r="H82" i="126"/>
  <c r="I59" i="117" s="1"/>
  <c r="I164" i="117" s="1"/>
  <c r="I166" i="117" s="1"/>
  <c r="I170" i="126"/>
  <c r="E231" i="126"/>
  <c r="K119" i="88"/>
  <c r="G137" i="126"/>
  <c r="N120" i="88"/>
  <c r="M64" i="126"/>
  <c r="N135" i="88" s="1"/>
  <c r="G147" i="126"/>
  <c r="F155" i="126"/>
  <c r="K138" i="117" s="1"/>
  <c r="D100" i="117" s="1"/>
  <c r="M130" i="82" s="1"/>
  <c r="N39" i="126"/>
  <c r="H43" i="126"/>
  <c r="L43" i="126"/>
  <c r="K52" i="126"/>
  <c r="G82" i="126"/>
  <c r="H59" i="117" s="1"/>
  <c r="H164" i="117" s="1"/>
  <c r="K82" i="126"/>
  <c r="L59" i="117" s="1"/>
  <c r="L164" i="117" s="1"/>
  <c r="L166" i="117" s="1"/>
  <c r="H85" i="126"/>
  <c r="I61" i="117" s="1"/>
  <c r="L85" i="126"/>
  <c r="M61" i="117" s="1"/>
  <c r="F150" i="126"/>
  <c r="G18" i="68"/>
  <c r="G42" i="68" s="1"/>
  <c r="H42" i="68" s="1"/>
  <c r="I173" i="126"/>
  <c r="S29" i="99"/>
  <c r="F231" i="126"/>
  <c r="H42" i="88"/>
  <c r="C75" i="129" s="1"/>
  <c r="C86" i="129" s="1"/>
  <c r="O49" i="117"/>
  <c r="O50" i="117" s="1"/>
  <c r="N15" i="126"/>
  <c r="P103" i="126"/>
  <c r="S31" i="136"/>
  <c r="S31" i="99"/>
  <c r="J43" i="126"/>
  <c r="I66" i="126"/>
  <c r="J137" i="88" s="1"/>
  <c r="O85" i="126"/>
  <c r="P61" i="117" s="1"/>
  <c r="P62" i="117" s="1"/>
  <c r="P63" i="117" s="1"/>
  <c r="P64" i="117" s="1"/>
  <c r="P49" i="117"/>
  <c r="P50" i="117" s="1"/>
  <c r="Q50" i="117" s="1"/>
  <c r="Q49" i="117" s="1"/>
  <c r="J85" i="126"/>
  <c r="K61" i="117" s="1"/>
  <c r="N85" i="126"/>
  <c r="O61" i="117" s="1"/>
  <c r="F88" i="126"/>
  <c r="G79" i="117" s="1"/>
  <c r="G82" i="117" s="1"/>
  <c r="G83" i="117" s="1"/>
  <c r="G84" i="117" s="1"/>
  <c r="F143" i="126"/>
  <c r="G138" i="126" s="1"/>
  <c r="G143" i="126" s="1"/>
  <c r="G14" i="68"/>
  <c r="G38" i="68" s="1"/>
  <c r="H38" i="68" s="1"/>
  <c r="I169" i="126"/>
  <c r="G22" i="68"/>
  <c r="G46" i="68" s="1"/>
  <c r="H46" i="68" s="1"/>
  <c r="I177" i="126"/>
  <c r="F221" i="126"/>
  <c r="S30" i="99"/>
  <c r="S38" i="99"/>
  <c r="S38" i="100" s="1"/>
  <c r="S38" i="136"/>
  <c r="M43" i="126"/>
  <c r="L66" i="126"/>
  <c r="M137" i="88" s="1"/>
  <c r="G16" i="68"/>
  <c r="G40" i="68" s="1"/>
  <c r="H40" i="68" s="1"/>
  <c r="I171" i="126"/>
  <c r="H181" i="126"/>
  <c r="N35" i="126"/>
  <c r="N40" i="126"/>
  <c r="K43" i="126"/>
  <c r="J52" i="126"/>
  <c r="J68" i="126"/>
  <c r="K139" i="88" s="1"/>
  <c r="J82" i="126"/>
  <c r="K59" i="117" s="1"/>
  <c r="K164" i="117" s="1"/>
  <c r="K166" i="117" s="1"/>
  <c r="G85" i="126"/>
  <c r="H61" i="117" s="1"/>
  <c r="K85" i="126"/>
  <c r="L61" i="117" s="1"/>
  <c r="G88" i="126"/>
  <c r="H79" i="117" s="1"/>
  <c r="H173" i="117" s="1"/>
  <c r="H175" i="117" s="1"/>
  <c r="G12" i="68"/>
  <c r="G36" i="68" s="1"/>
  <c r="H36" i="68" s="1"/>
  <c r="I167" i="126"/>
  <c r="G20" i="68"/>
  <c r="G44" i="68" s="1"/>
  <c r="H44" i="68" s="1"/>
  <c r="I175" i="126"/>
  <c r="D231" i="126"/>
  <c r="D232" i="126" s="1"/>
  <c r="L193" i="126"/>
  <c r="H200" i="126" s="1"/>
  <c r="H33" i="88"/>
  <c r="C70" i="129" s="1"/>
  <c r="C80" i="129" s="1"/>
  <c r="G41" i="88"/>
  <c r="H15" i="68"/>
  <c r="H41" i="68"/>
  <c r="H45" i="68"/>
  <c r="H47" i="68"/>
  <c r="H48" i="68"/>
  <c r="H49" i="68"/>
  <c r="C22" i="88"/>
  <c r="D45" i="122" s="1"/>
  <c r="D44" i="122" s="1"/>
  <c r="I82" i="82"/>
  <c r="I84" i="82"/>
  <c r="I112" i="82"/>
  <c r="J112" i="82" s="1"/>
  <c r="I145" i="82"/>
  <c r="J145" i="82" s="1"/>
  <c r="B100" i="129"/>
  <c r="N20" i="99"/>
  <c r="F66" i="88"/>
  <c r="H15" i="117" s="1"/>
  <c r="H16" i="117" s="1"/>
  <c r="J66" i="88"/>
  <c r="L15" i="117" s="1"/>
  <c r="L16" i="117" s="1"/>
  <c r="N66" i="88"/>
  <c r="P15" i="117" s="1"/>
  <c r="P16" i="117" s="1"/>
  <c r="D85" i="88"/>
  <c r="F46" i="117" s="1"/>
  <c r="F47" i="117" s="1"/>
  <c r="H85" i="88"/>
  <c r="J46" i="117" s="1"/>
  <c r="J47" i="117" s="1"/>
  <c r="L85" i="88"/>
  <c r="N46" i="117" s="1"/>
  <c r="N47" i="117" s="1"/>
  <c r="C106" i="88"/>
  <c r="E71" i="117" s="1"/>
  <c r="E72" i="117" s="1"/>
  <c r="G106" i="88"/>
  <c r="I71" i="117" s="1"/>
  <c r="I72" i="117" s="1"/>
  <c r="K106" i="88"/>
  <c r="M71" i="117" s="1"/>
  <c r="M72" i="117" s="1"/>
  <c r="G34" i="88"/>
  <c r="G39" i="88"/>
  <c r="H39" i="88"/>
  <c r="C72" i="129" s="1"/>
  <c r="C83" i="129" s="1"/>
  <c r="G40" i="88"/>
  <c r="H40" i="88"/>
  <c r="C73" i="129" s="1"/>
  <c r="C84" i="129" s="1"/>
  <c r="H41" i="88"/>
  <c r="C74" i="129" s="1"/>
  <c r="C85" i="129" s="1"/>
  <c r="G42" i="88"/>
  <c r="F127" i="88"/>
  <c r="H91" i="117" s="1"/>
  <c r="E142" i="88"/>
  <c r="G111" i="117" s="1"/>
  <c r="F50" i="68"/>
  <c r="F52" i="68" s="1"/>
  <c r="L28" i="65" s="1"/>
  <c r="C44" i="137"/>
  <c r="I26" i="65"/>
  <c r="E23" i="66"/>
  <c r="C66" i="88"/>
  <c r="E15" i="117" s="1"/>
  <c r="E16" i="117" s="1"/>
  <c r="G66" i="88"/>
  <c r="I15" i="117" s="1"/>
  <c r="I16" i="117" s="1"/>
  <c r="K66" i="88"/>
  <c r="M15" i="117" s="1"/>
  <c r="M16" i="117" s="1"/>
  <c r="E85" i="88"/>
  <c r="G46" i="117" s="1"/>
  <c r="G47" i="117" s="1"/>
  <c r="I85" i="88"/>
  <c r="K46" i="117" s="1"/>
  <c r="K47" i="117" s="1"/>
  <c r="M85" i="88"/>
  <c r="O46" i="117" s="1"/>
  <c r="O47" i="117" s="1"/>
  <c r="D106" i="88"/>
  <c r="F71" i="117" s="1"/>
  <c r="F72" i="117" s="1"/>
  <c r="H106" i="88"/>
  <c r="J71" i="117" s="1"/>
  <c r="J72" i="117" s="1"/>
  <c r="L106" i="88"/>
  <c r="N71" i="117" s="1"/>
  <c r="C127" i="88"/>
  <c r="E91" i="117" s="1"/>
  <c r="F142" i="88"/>
  <c r="H111" i="117" s="1"/>
  <c r="D80" i="117"/>
  <c r="M98" i="82" s="1"/>
  <c r="E11" i="66"/>
  <c r="Q72" i="82"/>
  <c r="Q165" i="117"/>
  <c r="Q174" i="117"/>
  <c r="H11" i="66"/>
  <c r="D26" i="68"/>
  <c r="D28" i="68" s="1"/>
  <c r="F15" i="65" s="1"/>
  <c r="H11" i="68"/>
  <c r="C26" i="137"/>
  <c r="G33" i="88"/>
  <c r="E66" i="88"/>
  <c r="G15" i="117" s="1"/>
  <c r="G16" i="117" s="1"/>
  <c r="I66" i="88"/>
  <c r="K15" i="117" s="1"/>
  <c r="K16" i="117" s="1"/>
  <c r="M66" i="88"/>
  <c r="O15" i="117" s="1"/>
  <c r="O16" i="117" s="1"/>
  <c r="E26" i="68"/>
  <c r="E28" i="68" s="1"/>
  <c r="E12" i="66" s="1"/>
  <c r="B28" i="100"/>
  <c r="B28" i="136"/>
  <c r="B28" i="137"/>
  <c r="B28" i="99"/>
  <c r="B16" i="101"/>
  <c r="B39" i="72"/>
  <c r="B13" i="136"/>
  <c r="B13" i="137"/>
  <c r="B13" i="100"/>
  <c r="B13" i="99"/>
  <c r="B35" i="72"/>
  <c r="B12" i="101"/>
  <c r="B14" i="137"/>
  <c r="B14" i="100"/>
  <c r="B36" i="72"/>
  <c r="B13" i="101"/>
  <c r="B14" i="136"/>
  <c r="B6" i="139" s="1"/>
  <c r="B12" i="139" s="1"/>
  <c r="B14" i="99"/>
  <c r="B31" i="100"/>
  <c r="B31" i="137"/>
  <c r="B31" i="136"/>
  <c r="B42" i="72"/>
  <c r="B31" i="99"/>
  <c r="B19" i="101"/>
  <c r="O61" i="88"/>
  <c r="D17" i="88" s="1"/>
  <c r="O63" i="88"/>
  <c r="D19" i="88" s="1"/>
  <c r="E19" i="88" s="1"/>
  <c r="O65" i="88"/>
  <c r="D21" i="88" s="1"/>
  <c r="E21" i="88" s="1"/>
  <c r="O81" i="88"/>
  <c r="D39" i="88" s="1"/>
  <c r="O83" i="88"/>
  <c r="D41" i="88" s="1"/>
  <c r="O126" i="88"/>
  <c r="B29" i="137"/>
  <c r="B17" i="101"/>
  <c r="B29" i="136"/>
  <c r="B29" i="100"/>
  <c r="B29" i="99"/>
  <c r="B40" i="72"/>
  <c r="B37" i="136"/>
  <c r="B37" i="99"/>
  <c r="B20" i="101"/>
  <c r="B43" i="72"/>
  <c r="B37" i="137"/>
  <c r="B37" i="100"/>
  <c r="O59" i="88"/>
  <c r="D13" i="88" s="1"/>
  <c r="E13" i="88" s="1"/>
  <c r="O77" i="88"/>
  <c r="O102" i="88"/>
  <c r="O104" i="88"/>
  <c r="B38" i="136"/>
  <c r="B38" i="100"/>
  <c r="B38" i="137"/>
  <c r="B38" i="99"/>
  <c r="B44" i="72"/>
  <c r="B21" i="101"/>
  <c r="O62" i="88"/>
  <c r="D18" i="88" s="1"/>
  <c r="E18" i="88" s="1"/>
  <c r="O64" i="88"/>
  <c r="D20" i="88" s="1"/>
  <c r="E20" i="88" s="1"/>
  <c r="O80" i="88"/>
  <c r="O82" i="88"/>
  <c r="D40" i="88" s="1"/>
  <c r="O84" i="88"/>
  <c r="D42" i="88" s="1"/>
  <c r="F85" i="88"/>
  <c r="H46" i="117" s="1"/>
  <c r="H47" i="117" s="1"/>
  <c r="J85" i="88"/>
  <c r="L46" i="117" s="1"/>
  <c r="L47" i="117" s="1"/>
  <c r="N85" i="88"/>
  <c r="P46" i="117" s="1"/>
  <c r="P47" i="117" s="1"/>
  <c r="O98" i="88"/>
  <c r="E106" i="88"/>
  <c r="G71" i="117" s="1"/>
  <c r="G72" i="117" s="1"/>
  <c r="I106" i="88"/>
  <c r="K71" i="117" s="1"/>
  <c r="M106" i="88"/>
  <c r="O71" i="117" s="1"/>
  <c r="D127" i="88"/>
  <c r="F91" i="117" s="1"/>
  <c r="H127" i="88"/>
  <c r="J91" i="117" s="1"/>
  <c r="G142" i="88"/>
  <c r="I111" i="117" s="1"/>
  <c r="B20" i="136"/>
  <c r="B7" i="139" s="1"/>
  <c r="B13" i="139" s="1"/>
  <c r="B20" i="100"/>
  <c r="B20" i="137"/>
  <c r="B14" i="101"/>
  <c r="B37" i="72"/>
  <c r="B20" i="99"/>
  <c r="B30" i="136"/>
  <c r="B30" i="137"/>
  <c r="B30" i="100"/>
  <c r="B18" i="101"/>
  <c r="B41" i="72"/>
  <c r="B30" i="99"/>
  <c r="O58" i="88"/>
  <c r="D66" i="88"/>
  <c r="F15" i="117" s="1"/>
  <c r="F16" i="117" s="1"/>
  <c r="H66" i="88"/>
  <c r="J15" i="117" s="1"/>
  <c r="J16" i="117" s="1"/>
  <c r="L66" i="88"/>
  <c r="N15" i="117" s="1"/>
  <c r="N16" i="117" s="1"/>
  <c r="O78" i="88"/>
  <c r="D34" i="88" s="1"/>
  <c r="C85" i="88"/>
  <c r="E46" i="117" s="1"/>
  <c r="E47" i="117" s="1"/>
  <c r="G85" i="88"/>
  <c r="I46" i="117" s="1"/>
  <c r="I47" i="117" s="1"/>
  <c r="K85" i="88"/>
  <c r="M46" i="117" s="1"/>
  <c r="M47" i="117" s="1"/>
  <c r="O101" i="88"/>
  <c r="O103" i="88"/>
  <c r="O105" i="88"/>
  <c r="F106" i="88"/>
  <c r="H71" i="117" s="1"/>
  <c r="H72" i="117" s="1"/>
  <c r="N106" i="88"/>
  <c r="P71" i="117" s="1"/>
  <c r="E127" i="88"/>
  <c r="G91" i="117" s="1"/>
  <c r="D142" i="88"/>
  <c r="F111" i="117" s="1"/>
  <c r="H142" i="88"/>
  <c r="J111" i="117" s="1"/>
  <c r="F62" i="117"/>
  <c r="F63" i="117" s="1"/>
  <c r="F64" i="117" s="1"/>
  <c r="E38" i="117"/>
  <c r="Q38" i="117" s="1"/>
  <c r="Q19" i="117"/>
  <c r="Q18" i="117" s="1"/>
  <c r="G62" i="117"/>
  <c r="G63" i="117" s="1"/>
  <c r="G64" i="117" s="1"/>
  <c r="E62" i="117"/>
  <c r="I62" i="117"/>
  <c r="I63" i="117" s="1"/>
  <c r="I64" i="117" s="1"/>
  <c r="Q60" i="117"/>
  <c r="Q80" i="117"/>
  <c r="P164" i="117"/>
  <c r="P166" i="117" s="1"/>
  <c r="H23" i="66"/>
  <c r="L26" i="65"/>
  <c r="H35" i="68"/>
  <c r="I27" i="65"/>
  <c r="E25" i="66"/>
  <c r="H37" i="68"/>
  <c r="H39" i="68"/>
  <c r="H13" i="66"/>
  <c r="L14" i="65"/>
  <c r="H25" i="69"/>
  <c r="H12" i="68"/>
  <c r="H24" i="68"/>
  <c r="F26" i="68"/>
  <c r="F28" i="68" s="1"/>
  <c r="D35" i="68"/>
  <c r="D50" i="68" s="1"/>
  <c r="D52" i="68" s="1"/>
  <c r="F28" i="65" s="1"/>
  <c r="D15" i="69"/>
  <c r="D17" i="69" s="1"/>
  <c r="F14" i="65" s="1"/>
  <c r="F24" i="69"/>
  <c r="F26" i="69"/>
  <c r="H26" i="69" s="1"/>
  <c r="H13" i="68"/>
  <c r="H17" i="68"/>
  <c r="H21" i="68"/>
  <c r="H25" i="68"/>
  <c r="E35" i="68"/>
  <c r="E50" i="68" s="1"/>
  <c r="E52" i="68" s="1"/>
  <c r="E15" i="69"/>
  <c r="E17" i="69" s="1"/>
  <c r="H13" i="69"/>
  <c r="H19" i="68"/>
  <c r="H23" i="68"/>
  <c r="C20" i="136"/>
  <c r="C20" i="99"/>
  <c r="C37" i="99"/>
  <c r="M37" i="99" s="1"/>
  <c r="C37" i="136"/>
  <c r="M37" i="136" s="1"/>
  <c r="C29" i="136"/>
  <c r="C29" i="99"/>
  <c r="C38" i="136"/>
  <c r="C38" i="99"/>
  <c r="C30" i="136"/>
  <c r="M30" i="136" s="1"/>
  <c r="C30" i="99"/>
  <c r="M30" i="99" s="1"/>
  <c r="C14" i="136"/>
  <c r="C14" i="99"/>
  <c r="C31" i="136"/>
  <c r="C31" i="99"/>
  <c r="S20" i="137"/>
  <c r="K20" i="100"/>
  <c r="N20" i="100" s="1"/>
  <c r="M29" i="137"/>
  <c r="M44" i="137" s="1"/>
  <c r="M46" i="137" s="1"/>
  <c r="E18" i="66"/>
  <c r="V7" i="138"/>
  <c r="J22" i="138"/>
  <c r="C44" i="140"/>
  <c r="K35" i="55"/>
  <c r="L33" i="55"/>
  <c r="M21" i="116"/>
  <c r="M17" i="116" s="1"/>
  <c r="M68" i="54"/>
  <c r="N33" i="55"/>
  <c r="N35" i="55" s="1"/>
  <c r="E33" i="116"/>
  <c r="E29" i="116" s="1"/>
  <c r="P41" i="55"/>
  <c r="I33" i="116"/>
  <c r="I29" i="116" s="1"/>
  <c r="R68" i="54"/>
  <c r="I33" i="115"/>
  <c r="I29" i="115" s="1"/>
  <c r="I29" i="70" s="1"/>
  <c r="I33" i="70" s="1"/>
  <c r="R17" i="54"/>
  <c r="N22" i="55"/>
  <c r="E29" i="70"/>
  <c r="E33" i="70" s="1"/>
  <c r="P17" i="54"/>
  <c r="F29" i="65" l="1"/>
  <c r="I15" i="65"/>
  <c r="J83" i="117"/>
  <c r="J84" i="117" s="1"/>
  <c r="S75" i="117"/>
  <c r="S74" i="117" s="1"/>
  <c r="G173" i="117"/>
  <c r="G175" i="117" s="1"/>
  <c r="C13" i="121"/>
  <c r="C14" i="121" s="1"/>
  <c r="L62" i="117"/>
  <c r="L63" i="117" s="1"/>
  <c r="L64" i="117" s="1"/>
  <c r="H22" i="68"/>
  <c r="G50" i="68"/>
  <c r="G52" i="68" s="1"/>
  <c r="S38" i="137"/>
  <c r="H18" i="68"/>
  <c r="J62" i="117"/>
  <c r="J63" i="117" s="1"/>
  <c r="J64" i="117" s="1"/>
  <c r="B112" i="129"/>
  <c r="H12" i="69"/>
  <c r="H15" i="69" s="1"/>
  <c r="H17" i="69" s="1"/>
  <c r="J13" i="66" s="1"/>
  <c r="M62" i="117"/>
  <c r="M63" i="117" s="1"/>
  <c r="M64" i="117" s="1"/>
  <c r="N62" i="117"/>
  <c r="N63" i="117" s="1"/>
  <c r="N64" i="117" s="1"/>
  <c r="K62" i="117"/>
  <c r="K63" i="117" s="1"/>
  <c r="K64" i="117" s="1"/>
  <c r="B111" i="129"/>
  <c r="H14" i="68"/>
  <c r="I13" i="66"/>
  <c r="F173" i="117"/>
  <c r="F175" i="117" s="1"/>
  <c r="J173" i="117"/>
  <c r="J175" i="117" s="1"/>
  <c r="G24" i="69"/>
  <c r="G27" i="69" s="1"/>
  <c r="G29" i="69" s="1"/>
  <c r="M27" i="65" s="1"/>
  <c r="H24" i="66"/>
  <c r="F82" i="117"/>
  <c r="F83" i="117" s="1"/>
  <c r="F84" i="117" s="1"/>
  <c r="Q130" i="82"/>
  <c r="R130" i="82" s="1"/>
  <c r="I33" i="65"/>
  <c r="I79" i="117"/>
  <c r="I173" i="117" s="1"/>
  <c r="I175" i="117" s="1"/>
  <c r="C56" i="140"/>
  <c r="E193" i="126"/>
  <c r="D56" i="140" s="1"/>
  <c r="D195" i="126"/>
  <c r="D196" i="126" s="1"/>
  <c r="O31" i="126"/>
  <c r="H82" i="117"/>
  <c r="S44" i="99"/>
  <c r="B71" i="126"/>
  <c r="C26" i="100"/>
  <c r="Q105" i="82"/>
  <c r="Q61" i="117"/>
  <c r="G68" i="82" s="1"/>
  <c r="R68" i="82" s="1"/>
  <c r="C44" i="100"/>
  <c r="I11" i="133"/>
  <c r="B12" i="133" s="1"/>
  <c r="G11" i="133"/>
  <c r="D38" i="54"/>
  <c r="D39" i="54" s="1"/>
  <c r="M27" i="133"/>
  <c r="N25" i="133" s="1"/>
  <c r="N27" i="133" s="1"/>
  <c r="O25" i="133" s="1"/>
  <c r="D88" i="54"/>
  <c r="D89" i="54" s="1"/>
  <c r="M33" i="133"/>
  <c r="N31" i="133" s="1"/>
  <c r="N33" i="133" s="1"/>
  <c r="O31" i="133" s="1"/>
  <c r="X21" i="113"/>
  <c r="AD21" i="113"/>
  <c r="N21" i="113"/>
  <c r="AF21" i="113" s="1"/>
  <c r="S31" i="137"/>
  <c r="S44" i="137" s="1"/>
  <c r="I22" i="113"/>
  <c r="K14" i="113"/>
  <c r="K22" i="113" s="1"/>
  <c r="AA13" i="113" s="1"/>
  <c r="L33" i="113"/>
  <c r="M38" i="72"/>
  <c r="U38" i="113"/>
  <c r="W38" i="113" s="1"/>
  <c r="Z19" i="113"/>
  <c r="AD20" i="113"/>
  <c r="X20" i="113"/>
  <c r="N20" i="113"/>
  <c r="AF20" i="113" s="1"/>
  <c r="S31" i="100"/>
  <c r="S44" i="100" s="1"/>
  <c r="L36" i="113"/>
  <c r="M45" i="72"/>
  <c r="M46" i="72" s="1"/>
  <c r="L17" i="113"/>
  <c r="N16" i="72"/>
  <c r="M21" i="72"/>
  <c r="E232" i="126"/>
  <c r="M12" i="72"/>
  <c r="K14" i="72"/>
  <c r="L18" i="113"/>
  <c r="N17" i="72"/>
  <c r="K21" i="72"/>
  <c r="X15" i="113"/>
  <c r="AD15" i="113"/>
  <c r="N15" i="113"/>
  <c r="AF15" i="113" s="1"/>
  <c r="H14" i="54"/>
  <c r="I14" i="54" s="1"/>
  <c r="I44" i="58"/>
  <c r="G66" i="54"/>
  <c r="J65" i="54"/>
  <c r="I65" i="54"/>
  <c r="J44" i="58"/>
  <c r="K44" i="58" s="1"/>
  <c r="L44" i="58" s="1"/>
  <c r="M44" i="58" s="1"/>
  <c r="N44" i="58" s="1"/>
  <c r="O44" i="58" s="1"/>
  <c r="P44" i="58" s="1"/>
  <c r="Q44" i="58" s="1"/>
  <c r="R44" i="58" s="1"/>
  <c r="S44" i="58" s="1"/>
  <c r="E106" i="78"/>
  <c r="F106" i="78"/>
  <c r="S44" i="136"/>
  <c r="T44" i="137"/>
  <c r="T46" i="137" s="1"/>
  <c r="T46" i="99"/>
  <c r="T44" i="100"/>
  <c r="T46" i="100" s="1"/>
  <c r="T44" i="136"/>
  <c r="T46" i="136" s="1"/>
  <c r="N38" i="99"/>
  <c r="N44" i="99" s="1"/>
  <c r="K38" i="100"/>
  <c r="N38" i="100" s="1"/>
  <c r="N44" i="100" s="1"/>
  <c r="K38" i="137"/>
  <c r="N38" i="137" s="1"/>
  <c r="N44" i="137" s="1"/>
  <c r="N46" i="137" s="1"/>
  <c r="G243" i="126" s="1"/>
  <c r="N26" i="99"/>
  <c r="N46" i="136"/>
  <c r="G38" i="58"/>
  <c r="O125" i="88"/>
  <c r="C98" i="129" s="1"/>
  <c r="O140" i="88"/>
  <c r="C109" i="129" s="1"/>
  <c r="J152" i="82"/>
  <c r="G36" i="82"/>
  <c r="O64" i="131"/>
  <c r="U61" i="131"/>
  <c r="S65" i="131"/>
  <c r="W58" i="131"/>
  <c r="W66" i="131" s="1"/>
  <c r="V62" i="131"/>
  <c r="F44" i="127"/>
  <c r="O53" i="131"/>
  <c r="AA51" i="131"/>
  <c r="K42" i="127" s="1"/>
  <c r="K44" i="127" s="1"/>
  <c r="K46" i="127" s="1"/>
  <c r="Q65" i="131"/>
  <c r="Y63" i="131"/>
  <c r="S62" i="131"/>
  <c r="Q61" i="131"/>
  <c r="Y58" i="131"/>
  <c r="Y64" i="131"/>
  <c r="S61" i="131"/>
  <c r="O58" i="131"/>
  <c r="O66" i="131" s="1"/>
  <c r="Z64" i="131"/>
  <c r="T63" i="131"/>
  <c r="R62" i="131"/>
  <c r="Z59" i="131"/>
  <c r="Z66" i="131" s="1"/>
  <c r="T58" i="131"/>
  <c r="O65" i="131"/>
  <c r="Y62" i="131"/>
  <c r="Y53" i="131"/>
  <c r="V53" i="131"/>
  <c r="Y65" i="131"/>
  <c r="Z65" i="131"/>
  <c r="X64" i="131"/>
  <c r="Z63" i="131"/>
  <c r="X62" i="131"/>
  <c r="Z61" i="131"/>
  <c r="X59" i="131"/>
  <c r="Z58" i="131"/>
  <c r="V65" i="131"/>
  <c r="T64" i="131"/>
  <c r="V63" i="131"/>
  <c r="T62" i="131"/>
  <c r="V61" i="131"/>
  <c r="T59" i="131"/>
  <c r="V58" i="131"/>
  <c r="P64" i="131"/>
  <c r="R63" i="131"/>
  <c r="P62" i="131"/>
  <c r="P59" i="131"/>
  <c r="P66" i="131" s="1"/>
  <c r="R65" i="131"/>
  <c r="R61" i="131"/>
  <c r="R58" i="131"/>
  <c r="U65" i="131"/>
  <c r="W62" i="131"/>
  <c r="O59" i="131"/>
  <c r="U62" i="131"/>
  <c r="P65" i="131"/>
  <c r="X63" i="131"/>
  <c r="P61" i="131"/>
  <c r="X58" i="131"/>
  <c r="W65" i="131"/>
  <c r="S63" i="131"/>
  <c r="O61" i="131"/>
  <c r="W64" i="131"/>
  <c r="U63" i="131"/>
  <c r="U66" i="131" s="1"/>
  <c r="O62" i="131"/>
  <c r="W59" i="131"/>
  <c r="U58" i="131"/>
  <c r="Q64" i="131"/>
  <c r="Y59" i="131"/>
  <c r="Y66" i="131" s="1"/>
  <c r="X65" i="131"/>
  <c r="V64" i="131"/>
  <c r="P63" i="131"/>
  <c r="X61" i="131"/>
  <c r="V59" i="131"/>
  <c r="P58" i="131"/>
  <c r="U64" i="131"/>
  <c r="Q62" i="131"/>
  <c r="S58" i="131"/>
  <c r="S66" i="131" s="1"/>
  <c r="U53" i="131"/>
  <c r="R53" i="131"/>
  <c r="AA46" i="131"/>
  <c r="K35" i="127" s="1"/>
  <c r="C34" i="127"/>
  <c r="C36" i="127" s="1"/>
  <c r="AA27" i="131"/>
  <c r="T66" i="131"/>
  <c r="F34" i="127"/>
  <c r="F36" i="127" s="1"/>
  <c r="F46" i="127" s="1"/>
  <c r="AA40" i="131"/>
  <c r="K34" i="127"/>
  <c r="K36" i="127" s="1"/>
  <c r="AA53" i="131"/>
  <c r="C46" i="127"/>
  <c r="H45" i="122"/>
  <c r="H44" i="122" s="1"/>
  <c r="H36" i="122"/>
  <c r="I39" i="88"/>
  <c r="N119" i="88"/>
  <c r="K68" i="126"/>
  <c r="L139" i="88" s="1"/>
  <c r="N70" i="126"/>
  <c r="I141" i="88"/>
  <c r="O141" i="88" s="1"/>
  <c r="C110" i="129" s="1"/>
  <c r="N69" i="126"/>
  <c r="M66" i="126"/>
  <c r="N137" i="88" s="1"/>
  <c r="J57" i="126"/>
  <c r="M57" i="126"/>
  <c r="N49" i="126"/>
  <c r="G32" i="90"/>
  <c r="K16" i="121"/>
  <c r="H32" i="90" s="1"/>
  <c r="E32" i="90" s="1"/>
  <c r="F32" i="90" s="1"/>
  <c r="C24" i="88"/>
  <c r="E18" i="92" s="1"/>
  <c r="E22" i="92" s="1"/>
  <c r="O99" i="88"/>
  <c r="O106" i="88" s="1"/>
  <c r="G35" i="88"/>
  <c r="H13" i="121" s="1"/>
  <c r="H14" i="121" s="1"/>
  <c r="J40" i="122"/>
  <c r="J39" i="122" s="1"/>
  <c r="J36" i="122" s="1"/>
  <c r="J38" i="122" s="1"/>
  <c r="E16" i="121"/>
  <c r="E33" i="113"/>
  <c r="E41" i="113" s="1"/>
  <c r="C41" i="113"/>
  <c r="M17" i="101"/>
  <c r="Z17" i="101" s="1"/>
  <c r="I17" i="58"/>
  <c r="G75" i="61"/>
  <c r="G74" i="61"/>
  <c r="K74" i="61"/>
  <c r="L74" i="61" s="1"/>
  <c r="O69" i="61"/>
  <c r="R42" i="58" s="1"/>
  <c r="H76" i="61"/>
  <c r="K43" i="58" s="1"/>
  <c r="F76" i="61"/>
  <c r="I43" i="58" s="1"/>
  <c r="M76" i="61"/>
  <c r="P43" i="58" s="1"/>
  <c r="N61" i="61"/>
  <c r="P61" i="61" s="1"/>
  <c r="P74" i="61" s="1"/>
  <c r="G17" i="58"/>
  <c r="E69" i="61"/>
  <c r="H42" i="58" s="1"/>
  <c r="D104" i="78" s="1"/>
  <c r="E43" i="58"/>
  <c r="D43" i="78" s="1"/>
  <c r="H21" i="58"/>
  <c r="H23" i="58" s="1"/>
  <c r="H26" i="58" s="1"/>
  <c r="H70" i="58" s="1"/>
  <c r="D75" i="78"/>
  <c r="D80" i="78" s="1"/>
  <c r="K17" i="116"/>
  <c r="I44" i="116"/>
  <c r="F15" i="120"/>
  <c r="E17" i="54"/>
  <c r="E14" i="55"/>
  <c r="I21" i="115"/>
  <c r="I17" i="115" s="1"/>
  <c r="H14" i="55"/>
  <c r="H17" i="54"/>
  <c r="I17" i="54" s="1"/>
  <c r="E33" i="55"/>
  <c r="E68" i="54"/>
  <c r="H35" i="55"/>
  <c r="I33" i="55"/>
  <c r="Q80" i="82"/>
  <c r="R80" i="82" s="1"/>
  <c r="Q88" i="82"/>
  <c r="J106" i="88"/>
  <c r="L71" i="117" s="1"/>
  <c r="T71" i="117" s="1"/>
  <c r="F25" i="90"/>
  <c r="I41" i="88"/>
  <c r="M16" i="121"/>
  <c r="H38" i="90" s="1"/>
  <c r="E38" i="90" s="1"/>
  <c r="H86" i="58"/>
  <c r="H19" i="90"/>
  <c r="E19" i="90" s="1"/>
  <c r="F36" i="122"/>
  <c r="T73" i="117"/>
  <c r="S71" i="117"/>
  <c r="L38" i="122"/>
  <c r="L34" i="122"/>
  <c r="L28" i="122"/>
  <c r="E43" i="78"/>
  <c r="J39" i="88"/>
  <c r="H20" i="68"/>
  <c r="O62" i="117"/>
  <c r="O63" i="117" s="1"/>
  <c r="O64" i="117" s="1"/>
  <c r="C46" i="137"/>
  <c r="G43" i="88"/>
  <c r="H15" i="121" s="1"/>
  <c r="I181" i="126"/>
  <c r="F201" i="126" s="1"/>
  <c r="N52" i="126"/>
  <c r="N43" i="126"/>
  <c r="H34" i="88"/>
  <c r="C71" i="129" s="1"/>
  <c r="L119" i="88"/>
  <c r="L134" i="88"/>
  <c r="G26" i="68"/>
  <c r="G28" i="68" s="1"/>
  <c r="I12" i="66" s="1"/>
  <c r="H16" i="68"/>
  <c r="H83" i="117"/>
  <c r="H84" i="117" s="1"/>
  <c r="H62" i="117"/>
  <c r="H63" i="117" s="1"/>
  <c r="H64" i="117" s="1"/>
  <c r="Q59" i="117"/>
  <c r="G62" i="82" s="1"/>
  <c r="R62" i="82" s="1"/>
  <c r="I42" i="88"/>
  <c r="J42" i="88" s="1"/>
  <c r="H66" i="126"/>
  <c r="I137" i="88" s="1"/>
  <c r="K205" i="126"/>
  <c r="M205" i="126" s="1"/>
  <c r="L68" i="126"/>
  <c r="M139" i="88" s="1"/>
  <c r="M124" i="88"/>
  <c r="M123" i="88"/>
  <c r="L67" i="126"/>
  <c r="M138" i="88" s="1"/>
  <c r="L122" i="88"/>
  <c r="K66" i="126"/>
  <c r="L137" i="88" s="1"/>
  <c r="J134" i="88"/>
  <c r="I124" i="88"/>
  <c r="N54" i="126"/>
  <c r="H68" i="126"/>
  <c r="J66" i="126"/>
  <c r="K137" i="88" s="1"/>
  <c r="K122" i="88"/>
  <c r="F223" i="126"/>
  <c r="F232" i="126" s="1"/>
  <c r="S14" i="99"/>
  <c r="I123" i="88"/>
  <c r="H67" i="126"/>
  <c r="N53" i="126"/>
  <c r="N124" i="88"/>
  <c r="M68" i="126"/>
  <c r="N139" i="88" s="1"/>
  <c r="L64" i="126"/>
  <c r="M135" i="88" s="1"/>
  <c r="M120" i="88"/>
  <c r="G150" i="126"/>
  <c r="G152" i="126"/>
  <c r="G155" i="126" s="1"/>
  <c r="M138" i="117" s="1"/>
  <c r="D120" i="117" s="1"/>
  <c r="K134" i="88"/>
  <c r="N123" i="88"/>
  <c r="M67" i="126"/>
  <c r="N138" i="88" s="1"/>
  <c r="L120" i="88"/>
  <c r="K64" i="126"/>
  <c r="K57" i="126"/>
  <c r="L123" i="88"/>
  <c r="K67" i="126"/>
  <c r="L138" i="88" s="1"/>
  <c r="K120" i="88"/>
  <c r="J64" i="126"/>
  <c r="K135" i="88" s="1"/>
  <c r="J120" i="88"/>
  <c r="I64" i="126"/>
  <c r="J135" i="88" s="1"/>
  <c r="J124" i="88"/>
  <c r="I68" i="126"/>
  <c r="J139" i="88" s="1"/>
  <c r="H64" i="126"/>
  <c r="H57" i="126"/>
  <c r="N50" i="126"/>
  <c r="I120" i="88"/>
  <c r="G142" i="126"/>
  <c r="G140" i="126"/>
  <c r="L205" i="126"/>
  <c r="I57" i="126"/>
  <c r="J123" i="88"/>
  <c r="I67" i="126"/>
  <c r="J138" i="88" s="1"/>
  <c r="K123" i="88"/>
  <c r="J67" i="126"/>
  <c r="K138" i="88" s="1"/>
  <c r="M119" i="88"/>
  <c r="L57" i="126"/>
  <c r="F145" i="126"/>
  <c r="K137" i="117" s="1"/>
  <c r="D99" i="117" s="1"/>
  <c r="H43" i="88"/>
  <c r="F16" i="65"/>
  <c r="F12" i="61" s="1"/>
  <c r="I40" i="88"/>
  <c r="J40" i="88" s="1"/>
  <c r="C15" i="121"/>
  <c r="C16" i="121" s="1"/>
  <c r="F62" i="61"/>
  <c r="G62" i="61" s="1"/>
  <c r="I38" i="58"/>
  <c r="Q73" i="82"/>
  <c r="N72" i="117"/>
  <c r="Q47" i="117"/>
  <c r="I33" i="88"/>
  <c r="N26" i="100"/>
  <c r="C44" i="136"/>
  <c r="M29" i="136"/>
  <c r="M44" i="136" s="1"/>
  <c r="M46" i="136" s="1"/>
  <c r="C26" i="136"/>
  <c r="I14" i="65"/>
  <c r="E13" i="66"/>
  <c r="E14" i="66" s="1"/>
  <c r="H12" i="66"/>
  <c r="H14" i="66" s="1"/>
  <c r="H16" i="66" s="1"/>
  <c r="L15" i="65"/>
  <c r="L16" i="65" s="1"/>
  <c r="L13" i="58" s="1"/>
  <c r="L21" i="58" s="1"/>
  <c r="L23" i="58" s="1"/>
  <c r="L26" i="58" s="1"/>
  <c r="I24" i="66"/>
  <c r="M28" i="65"/>
  <c r="G98" i="82"/>
  <c r="J142" i="126" s="1"/>
  <c r="I13" i="122"/>
  <c r="I63" i="82"/>
  <c r="I67" i="82"/>
  <c r="I68" i="82"/>
  <c r="I66" i="82"/>
  <c r="J66" i="82" s="1"/>
  <c r="I62" i="82"/>
  <c r="G29" i="122"/>
  <c r="D58" i="130"/>
  <c r="Q73" i="117"/>
  <c r="K72" i="117"/>
  <c r="D22" i="88"/>
  <c r="E17" i="88"/>
  <c r="N83" i="117"/>
  <c r="N84" i="117" s="1"/>
  <c r="F27" i="69"/>
  <c r="F29" i="69" s="1"/>
  <c r="E63" i="117"/>
  <c r="P72" i="117"/>
  <c r="D40" i="72"/>
  <c r="G36" i="113" s="1"/>
  <c r="I36" i="113" s="1"/>
  <c r="K36" i="113" s="1"/>
  <c r="D43" i="88"/>
  <c r="C99" i="129"/>
  <c r="L42" i="88"/>
  <c r="D41" i="72"/>
  <c r="E39" i="88"/>
  <c r="Q15" i="117"/>
  <c r="E24" i="66"/>
  <c r="E26" i="66" s="1"/>
  <c r="I28" i="65"/>
  <c r="I29" i="65" s="1"/>
  <c r="F39" i="58"/>
  <c r="Q164" i="117"/>
  <c r="Q166" i="117" s="1"/>
  <c r="H166" i="117"/>
  <c r="D37" i="72"/>
  <c r="G34" i="113" s="1"/>
  <c r="I34" i="113" s="1"/>
  <c r="K34" i="113" s="1"/>
  <c r="E34" i="88"/>
  <c r="O66" i="88"/>
  <c r="D12" i="88"/>
  <c r="D42" i="72"/>
  <c r="E40" i="88"/>
  <c r="D43" i="72"/>
  <c r="E41" i="88"/>
  <c r="Q16" i="117"/>
  <c r="M83" i="117"/>
  <c r="M84" i="117" s="1"/>
  <c r="C44" i="99"/>
  <c r="M29" i="99"/>
  <c r="M44" i="99" s="1"/>
  <c r="C26" i="99"/>
  <c r="I25" i="66"/>
  <c r="H50" i="68"/>
  <c r="H52" i="68" s="1"/>
  <c r="G63" i="82"/>
  <c r="R63" i="82" s="1"/>
  <c r="G13" i="122"/>
  <c r="O72" i="117"/>
  <c r="D44" i="72"/>
  <c r="E42" i="88"/>
  <c r="O85" i="88"/>
  <c r="D33" i="88"/>
  <c r="E37" i="92"/>
  <c r="E41" i="92" s="1"/>
  <c r="R22" i="138"/>
  <c r="E44" i="140"/>
  <c r="N68" i="54"/>
  <c r="M17" i="70"/>
  <c r="M21" i="70" s="1"/>
  <c r="K41" i="55"/>
  <c r="L35" i="55"/>
  <c r="N41" i="55"/>
  <c r="N41" i="88" l="1"/>
  <c r="H16" i="121"/>
  <c r="I82" i="117"/>
  <c r="I83" i="117" s="1"/>
  <c r="I84" i="117" s="1"/>
  <c r="Q62" i="117"/>
  <c r="G67" i="82" s="1"/>
  <c r="J67" i="82" s="1"/>
  <c r="H26" i="68"/>
  <c r="H28" i="68" s="1"/>
  <c r="N15" i="65" s="1"/>
  <c r="J12" i="66"/>
  <c r="H24" i="69"/>
  <c r="H27" i="69" s="1"/>
  <c r="H29" i="69" s="1"/>
  <c r="J25" i="66" s="1"/>
  <c r="T63" i="82"/>
  <c r="L41" i="88"/>
  <c r="L37" i="136" s="1"/>
  <c r="P37" i="136" s="1"/>
  <c r="M129" i="82"/>
  <c r="Q129" i="82" s="1"/>
  <c r="E195" i="126"/>
  <c r="D11" i="66" s="1"/>
  <c r="G11" i="66" s="1"/>
  <c r="G25" i="122"/>
  <c r="G12" i="122"/>
  <c r="G14" i="122" s="1"/>
  <c r="G17" i="122" s="1"/>
  <c r="M162" i="82"/>
  <c r="Q162" i="82" s="1"/>
  <c r="R162" i="82" s="1"/>
  <c r="G201" i="126"/>
  <c r="J206" i="126" s="1"/>
  <c r="L206" i="126" s="1"/>
  <c r="C46" i="100"/>
  <c r="I35" i="65"/>
  <c r="F193" i="126"/>
  <c r="E56" i="140" s="1"/>
  <c r="I16" i="65"/>
  <c r="F58" i="61" s="1"/>
  <c r="I34" i="65"/>
  <c r="G145" i="126"/>
  <c r="M137" i="117" s="1"/>
  <c r="D119" i="117" s="1"/>
  <c r="L144" i="126"/>
  <c r="G239" i="126" s="1"/>
  <c r="O27" i="133"/>
  <c r="P25" i="133" s="1"/>
  <c r="P27" i="133" s="1"/>
  <c r="Q25" i="133"/>
  <c r="Q27" i="133" s="1"/>
  <c r="R25" i="133" s="1"/>
  <c r="R27" i="133" s="1"/>
  <c r="S25" i="133" s="1"/>
  <c r="S27" i="133" s="1"/>
  <c r="D40" i="54"/>
  <c r="E35" i="54"/>
  <c r="Q31" i="133"/>
  <c r="Q33" i="133" s="1"/>
  <c r="R31" i="133" s="1"/>
  <c r="R33" i="133" s="1"/>
  <c r="S31" i="133" s="1"/>
  <c r="S33" i="133" s="1"/>
  <c r="O33" i="133"/>
  <c r="P31" i="133" s="1"/>
  <c r="P33" i="133" s="1"/>
  <c r="D90" i="54"/>
  <c r="E85" i="54"/>
  <c r="G12" i="133"/>
  <c r="I12" i="133"/>
  <c r="B13" i="133" s="1"/>
  <c r="M54" i="72"/>
  <c r="E123" i="78"/>
  <c r="I79" i="58" s="1"/>
  <c r="F60" i="61"/>
  <c r="G60" i="61" s="1"/>
  <c r="Z20" i="113"/>
  <c r="U39" i="113"/>
  <c r="W39" i="113" s="1"/>
  <c r="X18" i="113"/>
  <c r="AD18" i="113"/>
  <c r="N18" i="113"/>
  <c r="AF18" i="113" s="1"/>
  <c r="N21" i="72"/>
  <c r="X36" i="113"/>
  <c r="Z36" i="113" s="1"/>
  <c r="N36" i="113"/>
  <c r="X33" i="113"/>
  <c r="AD33" i="113"/>
  <c r="N33" i="113"/>
  <c r="L41" i="113"/>
  <c r="AD41" i="113" s="1"/>
  <c r="U34" i="113"/>
  <c r="W34" i="113" s="1"/>
  <c r="Z15" i="113"/>
  <c r="AA22" i="113"/>
  <c r="AC13" i="113"/>
  <c r="AC22" i="113" s="1"/>
  <c r="D12" i="98" s="1"/>
  <c r="K22" i="72"/>
  <c r="L14" i="113"/>
  <c r="M14" i="72"/>
  <c r="N14" i="72" s="1"/>
  <c r="N12" i="72"/>
  <c r="AD17" i="113"/>
  <c r="X17" i="113"/>
  <c r="N17" i="113"/>
  <c r="AF17" i="113" s="1"/>
  <c r="U40" i="113"/>
  <c r="W40" i="113" s="1"/>
  <c r="Z21" i="113"/>
  <c r="J66" i="54"/>
  <c r="J70" i="54" s="1"/>
  <c r="J72" i="54" s="1"/>
  <c r="J74" i="54" s="1"/>
  <c r="J76" i="54" s="1"/>
  <c r="K41" i="58" s="1"/>
  <c r="O65" i="54"/>
  <c r="G70" i="54"/>
  <c r="G72" i="54"/>
  <c r="G74" i="54" s="1"/>
  <c r="G76" i="54" s="1"/>
  <c r="H41" i="58" s="1"/>
  <c r="D103" i="78" s="1"/>
  <c r="F43" i="78"/>
  <c r="N46" i="99"/>
  <c r="F243" i="126"/>
  <c r="N46" i="100"/>
  <c r="G241" i="126" s="1"/>
  <c r="J68" i="82"/>
  <c r="Q66" i="131"/>
  <c r="R66" i="131"/>
  <c r="V66" i="131"/>
  <c r="AA61" i="131"/>
  <c r="M39" i="127" s="1"/>
  <c r="M44" i="127" s="1"/>
  <c r="AA63" i="131"/>
  <c r="M41" i="127" s="1"/>
  <c r="X66" i="131"/>
  <c r="AA62" i="131"/>
  <c r="M40" i="127" s="1"/>
  <c r="AA65" i="131"/>
  <c r="M43" i="127" s="1"/>
  <c r="I32" i="90"/>
  <c r="K32" i="90" s="1"/>
  <c r="AA58" i="131"/>
  <c r="M34" i="127" s="1"/>
  <c r="J28" i="122"/>
  <c r="AA59" i="131"/>
  <c r="M35" i="127" s="1"/>
  <c r="AA64" i="131"/>
  <c r="M42" i="127" s="1"/>
  <c r="J34" i="122"/>
  <c r="AA66" i="131"/>
  <c r="H28" i="122"/>
  <c r="H34" i="122"/>
  <c r="H38" i="122"/>
  <c r="N142" i="88"/>
  <c r="P111" i="117" s="1"/>
  <c r="N42" i="88"/>
  <c r="L38" i="137" s="1"/>
  <c r="N66" i="126"/>
  <c r="M71" i="126"/>
  <c r="N57" i="126"/>
  <c r="O137" i="88"/>
  <c r="L72" i="117"/>
  <c r="Q72" i="117" s="1"/>
  <c r="Q71" i="117"/>
  <c r="I34" i="88"/>
  <c r="M14" i="101" s="1"/>
  <c r="M22" i="101" s="1"/>
  <c r="Z22" i="101" s="1"/>
  <c r="H35" i="88"/>
  <c r="I13" i="121" s="1"/>
  <c r="I14" i="121" s="1"/>
  <c r="N41" i="72"/>
  <c r="P41" i="72" s="1"/>
  <c r="G37" i="113"/>
  <c r="I37" i="113" s="1"/>
  <c r="K37" i="113" s="1"/>
  <c r="I43" i="88"/>
  <c r="J15" i="121" s="1"/>
  <c r="N44" i="72"/>
  <c r="P44" i="72" s="1"/>
  <c r="G40" i="113"/>
  <c r="I40" i="113" s="1"/>
  <c r="K40" i="113" s="1"/>
  <c r="N43" i="72"/>
  <c r="P43" i="72" s="1"/>
  <c r="G39" i="113"/>
  <c r="I39" i="113" s="1"/>
  <c r="K39" i="113" s="1"/>
  <c r="N42" i="72"/>
  <c r="P42" i="72" s="1"/>
  <c r="G38" i="113"/>
  <c r="I38" i="113" s="1"/>
  <c r="K38" i="113" s="1"/>
  <c r="G45" i="88"/>
  <c r="L86" i="58" s="1"/>
  <c r="E82" i="117"/>
  <c r="Q79" i="117"/>
  <c r="E173" i="117"/>
  <c r="K75" i="61"/>
  <c r="K76" i="61" s="1"/>
  <c r="E76" i="78"/>
  <c r="F76" i="78" s="1"/>
  <c r="J17" i="58"/>
  <c r="D82" i="78"/>
  <c r="G76" i="61"/>
  <c r="N74" i="61"/>
  <c r="N75" i="61" s="1"/>
  <c r="Q17" i="58" s="1"/>
  <c r="G43" i="58"/>
  <c r="P75" i="61"/>
  <c r="S17" i="58" s="1"/>
  <c r="L76" i="61"/>
  <c r="N43" i="58"/>
  <c r="O43" i="58" s="1"/>
  <c r="L75" i="61"/>
  <c r="N17" i="58"/>
  <c r="O17" i="58" s="1"/>
  <c r="H16" i="55"/>
  <c r="I14" i="55"/>
  <c r="F68" i="54"/>
  <c r="E70" i="54"/>
  <c r="E71" i="54"/>
  <c r="I44" i="115"/>
  <c r="I17" i="70"/>
  <c r="I21" i="70" s="1"/>
  <c r="K17" i="115"/>
  <c r="K44" i="116"/>
  <c r="I48" i="116"/>
  <c r="I40" i="58" s="1"/>
  <c r="F33" i="55"/>
  <c r="E35" i="55"/>
  <c r="E16" i="55"/>
  <c r="F14" i="55"/>
  <c r="L17" i="116"/>
  <c r="K21" i="116"/>
  <c r="K71" i="116"/>
  <c r="K75" i="116" s="1"/>
  <c r="H41" i="55"/>
  <c r="I41" i="55" s="1"/>
  <c r="I35" i="55"/>
  <c r="E19" i="54"/>
  <c r="F17" i="54"/>
  <c r="E20" i="54"/>
  <c r="I71" i="116"/>
  <c r="I75" i="116" s="1"/>
  <c r="K38" i="58"/>
  <c r="K49" i="58" s="1"/>
  <c r="K51" i="58" s="1"/>
  <c r="K56" i="58" s="1"/>
  <c r="K71" i="58" s="1"/>
  <c r="K72" i="58" s="1"/>
  <c r="R88" i="82"/>
  <c r="J26" i="122"/>
  <c r="J30" i="122"/>
  <c r="I38" i="90"/>
  <c r="K38" i="90" s="1"/>
  <c r="F38" i="90"/>
  <c r="I15" i="121"/>
  <c r="F28" i="122"/>
  <c r="F34" i="122"/>
  <c r="F38" i="122"/>
  <c r="J41" i="88"/>
  <c r="I19" i="90"/>
  <c r="K19" i="90" s="1"/>
  <c r="F19" i="90"/>
  <c r="T75" i="117"/>
  <c r="L30" i="122"/>
  <c r="L26" i="122"/>
  <c r="S72" i="117"/>
  <c r="U71" i="117"/>
  <c r="T72" i="117"/>
  <c r="U73" i="117"/>
  <c r="E105" i="78"/>
  <c r="F105" i="78" s="1"/>
  <c r="J43" i="58"/>
  <c r="M15" i="65"/>
  <c r="L127" i="88"/>
  <c r="N91" i="117" s="1"/>
  <c r="J71" i="126"/>
  <c r="O122" i="88"/>
  <c r="C46" i="136"/>
  <c r="J127" i="88"/>
  <c r="L91" i="117" s="1"/>
  <c r="N67" i="126"/>
  <c r="I138" i="88"/>
  <c r="O138" i="88" s="1"/>
  <c r="M127" i="88"/>
  <c r="O91" i="117" s="1"/>
  <c r="O119" i="88"/>
  <c r="O120" i="88"/>
  <c r="I127" i="88"/>
  <c r="K91" i="117" s="1"/>
  <c r="O123" i="88"/>
  <c r="O124" i="88"/>
  <c r="L71" i="126"/>
  <c r="M134" i="88"/>
  <c r="M142" i="88" s="1"/>
  <c r="O111" i="117" s="1"/>
  <c r="F13" i="58"/>
  <c r="E11" i="78" s="1"/>
  <c r="N127" i="88"/>
  <c r="P91" i="117" s="1"/>
  <c r="K142" i="88"/>
  <c r="M111" i="117" s="1"/>
  <c r="S26" i="99"/>
  <c r="S46" i="99" s="1"/>
  <c r="S14" i="137"/>
  <c r="S26" i="137" s="1"/>
  <c r="S46" i="137" s="1"/>
  <c r="S14" i="100"/>
  <c r="S26" i="100" s="1"/>
  <c r="S46" i="100" s="1"/>
  <c r="N63" i="126"/>
  <c r="C81" i="129"/>
  <c r="C87" i="129" s="1"/>
  <c r="C76" i="129"/>
  <c r="C68" i="129" s="1"/>
  <c r="I135" i="88"/>
  <c r="H71" i="126"/>
  <c r="N64" i="126"/>
  <c r="J142" i="88"/>
  <c r="L111" i="117" s="1"/>
  <c r="K127" i="88"/>
  <c r="M91" i="117" s="1"/>
  <c r="L135" i="88"/>
  <c r="L142" i="88" s="1"/>
  <c r="N111" i="117" s="1"/>
  <c r="K71" i="126"/>
  <c r="S14" i="136"/>
  <c r="S26" i="136" s="1"/>
  <c r="S46" i="136" s="1"/>
  <c r="I139" i="88"/>
  <c r="O139" i="88" s="1"/>
  <c r="N68" i="126"/>
  <c r="I71" i="126"/>
  <c r="N14" i="65"/>
  <c r="J33" i="88"/>
  <c r="C46" i="99"/>
  <c r="E100" i="78"/>
  <c r="J29" i="65"/>
  <c r="I39" i="58"/>
  <c r="M46" i="99"/>
  <c r="F241" i="126" s="1"/>
  <c r="L83" i="117"/>
  <c r="L84" i="117" s="1"/>
  <c r="E39" i="78"/>
  <c r="L38" i="136"/>
  <c r="L38" i="99"/>
  <c r="D45" i="72"/>
  <c r="P83" i="117"/>
  <c r="P84" i="117" s="1"/>
  <c r="D191" i="126"/>
  <c r="C55" i="140" s="1"/>
  <c r="D55" i="140" s="1"/>
  <c r="E55" i="140" s="1"/>
  <c r="F55" i="140" s="1"/>
  <c r="G55" i="140" s="1"/>
  <c r="D36" i="72"/>
  <c r="G33" i="113" s="1"/>
  <c r="D35" i="88"/>
  <c r="D45" i="88" s="1"/>
  <c r="H6" i="146" s="1"/>
  <c r="E33" i="88"/>
  <c r="Q63" i="117"/>
  <c r="E64" i="117"/>
  <c r="Q64" i="117" s="1"/>
  <c r="N27" i="65"/>
  <c r="R98" i="82"/>
  <c r="J63" i="82"/>
  <c r="G45" i="122"/>
  <c r="G44" i="122" s="1"/>
  <c r="F15" i="121"/>
  <c r="E43" i="88"/>
  <c r="G22" i="122"/>
  <c r="G23" i="122" s="1"/>
  <c r="L27" i="65"/>
  <c r="L29" i="65" s="1"/>
  <c r="L39" i="58" s="1"/>
  <c r="L49" i="58" s="1"/>
  <c r="L51" i="58" s="1"/>
  <c r="L56" i="58" s="1"/>
  <c r="H25" i="66"/>
  <c r="H26" i="66" s="1"/>
  <c r="H28" i="66" s="1"/>
  <c r="L37" i="100"/>
  <c r="L37" i="137"/>
  <c r="P37" i="137" s="1"/>
  <c r="O83" i="117"/>
  <c r="O84" i="117" s="1"/>
  <c r="J24" i="66"/>
  <c r="N28" i="65"/>
  <c r="D14" i="88"/>
  <c r="D24" i="88" s="1"/>
  <c r="E12" i="88"/>
  <c r="J62" i="82"/>
  <c r="E45" i="122"/>
  <c r="E44" i="122" s="1"/>
  <c r="D15" i="121"/>
  <c r="E22" i="88"/>
  <c r="Q75" i="117"/>
  <c r="Q74" i="117" s="1"/>
  <c r="D14" i="66"/>
  <c r="L41" i="55"/>
  <c r="J74" i="58"/>
  <c r="J16" i="65" l="1"/>
  <c r="L37" i="99"/>
  <c r="H201" i="126"/>
  <c r="K206" i="126" s="1"/>
  <c r="I13" i="58"/>
  <c r="J13" i="58" s="1"/>
  <c r="I16" i="121"/>
  <c r="G24" i="122"/>
  <c r="M161" i="82"/>
  <c r="Q161" i="82" s="1"/>
  <c r="AA20" i="101"/>
  <c r="AA21" i="101"/>
  <c r="AA19" i="101"/>
  <c r="AA22" i="101"/>
  <c r="AA13" i="101"/>
  <c r="AA18" i="101"/>
  <c r="AA17" i="101"/>
  <c r="G193" i="126"/>
  <c r="F56" i="140" s="1"/>
  <c r="H45" i="88"/>
  <c r="M86" i="58" s="1"/>
  <c r="F195" i="126"/>
  <c r="F196" i="126" s="1"/>
  <c r="E196" i="126"/>
  <c r="D23" i="66" s="1"/>
  <c r="G23" i="66" s="1"/>
  <c r="R129" i="82"/>
  <c r="M133" i="82" s="1"/>
  <c r="E89" i="54"/>
  <c r="F85" i="54" s="1"/>
  <c r="E39" i="54"/>
  <c r="F35" i="54" s="1"/>
  <c r="G13" i="133"/>
  <c r="I13" i="133"/>
  <c r="B14" i="133" s="1"/>
  <c r="M206" i="126"/>
  <c r="N41" i="113"/>
  <c r="AF41" i="113" s="1"/>
  <c r="E21" i="98" s="1"/>
  <c r="AF33" i="113"/>
  <c r="U36" i="113"/>
  <c r="W36" i="113" s="1"/>
  <c r="Z17" i="113"/>
  <c r="X14" i="113"/>
  <c r="AD14" i="113"/>
  <c r="L22" i="113"/>
  <c r="AD22" i="113" s="1"/>
  <c r="N14" i="113"/>
  <c r="Z18" i="113"/>
  <c r="U37" i="113"/>
  <c r="W37" i="113" s="1"/>
  <c r="F5" i="140"/>
  <c r="H11" i="146"/>
  <c r="I34" i="76"/>
  <c r="I64" i="76" s="1"/>
  <c r="Z33" i="113"/>
  <c r="Z41" i="113" s="1"/>
  <c r="X41" i="113"/>
  <c r="M22" i="72"/>
  <c r="O66" i="54"/>
  <c r="Q65" i="54"/>
  <c r="Q66" i="54" s="1"/>
  <c r="Q70" i="54" s="1"/>
  <c r="Q72" i="54" s="1"/>
  <c r="Q74" i="54" s="1"/>
  <c r="Q76" i="54" s="1"/>
  <c r="R41" i="58" s="1"/>
  <c r="Z14" i="101"/>
  <c r="AA14" i="101" s="1"/>
  <c r="M36" i="127"/>
  <c r="M46" i="127"/>
  <c r="H30" i="122"/>
  <c r="H26" i="122"/>
  <c r="L38" i="100"/>
  <c r="L41" i="100" s="1"/>
  <c r="P41" i="100" s="1"/>
  <c r="J43" i="88"/>
  <c r="C106" i="129"/>
  <c r="I45" i="122"/>
  <c r="I44" i="122" s="1"/>
  <c r="O134" i="88"/>
  <c r="C104" i="129" s="1"/>
  <c r="J34" i="88"/>
  <c r="I35" i="88"/>
  <c r="I45" i="88" s="1"/>
  <c r="G41" i="113"/>
  <c r="I33" i="113"/>
  <c r="E175" i="117"/>
  <c r="Q173" i="117"/>
  <c r="Q175" i="117" s="1"/>
  <c r="G97" i="82"/>
  <c r="I12" i="122"/>
  <c r="E83" i="117"/>
  <c r="E84" i="117" s="1"/>
  <c r="Q82" i="117"/>
  <c r="D85" i="78"/>
  <c r="N76" i="61"/>
  <c r="Q43" i="58" s="1"/>
  <c r="P76" i="61"/>
  <c r="S43" i="58" s="1"/>
  <c r="E18" i="55"/>
  <c r="H13" i="55" s="1"/>
  <c r="E22" i="55"/>
  <c r="F16" i="55"/>
  <c r="F18" i="55" s="1"/>
  <c r="E37" i="55"/>
  <c r="F35" i="55"/>
  <c r="F37" i="55" s="1"/>
  <c r="E41" i="55"/>
  <c r="F41" i="55" s="1"/>
  <c r="K48" i="116"/>
  <c r="L44" i="116"/>
  <c r="I48" i="115"/>
  <c r="I14" i="58" s="1"/>
  <c r="I40" i="76" s="1"/>
  <c r="I42" i="76" s="1"/>
  <c r="K44" i="115"/>
  <c r="I44" i="70"/>
  <c r="I48" i="70" s="1"/>
  <c r="E21" i="54"/>
  <c r="F19" i="54"/>
  <c r="K71" i="115"/>
  <c r="L17" i="115"/>
  <c r="K17" i="70"/>
  <c r="K21" i="70" s="1"/>
  <c r="K21" i="115"/>
  <c r="D33" i="115" s="1"/>
  <c r="P12" i="114" s="1"/>
  <c r="P14" i="114" s="1"/>
  <c r="Q19" i="58" s="1"/>
  <c r="F71" i="54"/>
  <c r="H64" i="54"/>
  <c r="I16" i="55"/>
  <c r="H22" i="55"/>
  <c r="I22" i="55" s="1"/>
  <c r="L21" i="116"/>
  <c r="M28" i="114" s="1"/>
  <c r="M44" i="116"/>
  <c r="O17" i="116"/>
  <c r="F70" i="54"/>
  <c r="E72" i="54"/>
  <c r="H13" i="54"/>
  <c r="F20" i="54"/>
  <c r="E102" i="78"/>
  <c r="F102" i="78" s="1"/>
  <c r="H69" i="54"/>
  <c r="J40" i="58"/>
  <c r="I71" i="115"/>
  <c r="F30" i="122"/>
  <c r="G51" i="82"/>
  <c r="U72" i="117"/>
  <c r="J25" i="122"/>
  <c r="G118" i="82" s="1"/>
  <c r="G122" i="82"/>
  <c r="N122" i="82" s="1"/>
  <c r="Q117" i="82" s="1"/>
  <c r="G121" i="82"/>
  <c r="N121" i="82" s="1"/>
  <c r="Q116" i="82" s="1"/>
  <c r="U75" i="117"/>
  <c r="U74" i="117" s="1"/>
  <c r="T74" i="117"/>
  <c r="G154" i="82"/>
  <c r="N154" i="82" s="1"/>
  <c r="Q150" i="82" s="1"/>
  <c r="L25" i="122"/>
  <c r="G153" i="82"/>
  <c r="N153" i="82" s="1"/>
  <c r="Q149" i="82" s="1"/>
  <c r="C95" i="129"/>
  <c r="C96" i="129"/>
  <c r="L39" i="88"/>
  <c r="N71" i="126"/>
  <c r="Q91" i="117"/>
  <c r="C107" i="129"/>
  <c r="N39" i="88"/>
  <c r="N33" i="88"/>
  <c r="I142" i="88"/>
  <c r="K111" i="117" s="1"/>
  <c r="Q111" i="117" s="1"/>
  <c r="O135" i="88"/>
  <c r="C94" i="129"/>
  <c r="L34" i="88"/>
  <c r="C108" i="129"/>
  <c r="N40" i="88"/>
  <c r="I75" i="129"/>
  <c r="K73" i="129"/>
  <c r="K84" i="129" s="1"/>
  <c r="P75" i="129"/>
  <c r="P86" i="129" s="1"/>
  <c r="I74" i="129"/>
  <c r="K72" i="129"/>
  <c r="K83" i="129" s="1"/>
  <c r="L74" i="129"/>
  <c r="L85" i="129" s="1"/>
  <c r="N72" i="129"/>
  <c r="N83" i="129" s="1"/>
  <c r="K74" i="129"/>
  <c r="K85" i="129" s="1"/>
  <c r="M72" i="129"/>
  <c r="M83" i="129" s="1"/>
  <c r="H71" i="129"/>
  <c r="K71" i="129"/>
  <c r="K81" i="129" s="1"/>
  <c r="N71" i="129"/>
  <c r="N81" i="129" s="1"/>
  <c r="J72" i="129"/>
  <c r="J83" i="129" s="1"/>
  <c r="J70" i="129"/>
  <c r="O70" i="129"/>
  <c r="H72" i="129"/>
  <c r="P74" i="129"/>
  <c r="P85" i="129" s="1"/>
  <c r="O74" i="129"/>
  <c r="O85" i="129" s="1"/>
  <c r="O71" i="129"/>
  <c r="O81" i="129" s="1"/>
  <c r="K70" i="129"/>
  <c r="N74" i="129"/>
  <c r="N85" i="129" s="1"/>
  <c r="P72" i="129"/>
  <c r="P83" i="129" s="1"/>
  <c r="L75" i="129"/>
  <c r="L86" i="129" s="1"/>
  <c r="N73" i="129"/>
  <c r="N84" i="129" s="1"/>
  <c r="O75" i="129"/>
  <c r="O86" i="129" s="1"/>
  <c r="H74" i="129"/>
  <c r="N75" i="129"/>
  <c r="N86" i="129" s="1"/>
  <c r="P73" i="129"/>
  <c r="P84" i="129" s="1"/>
  <c r="I72" i="129"/>
  <c r="M70" i="129"/>
  <c r="P70" i="129"/>
  <c r="J71" i="129"/>
  <c r="J81" i="129" s="1"/>
  <c r="M71" i="129"/>
  <c r="M81" i="129" s="1"/>
  <c r="L70" i="129"/>
  <c r="O73" i="129"/>
  <c r="O84" i="129" s="1"/>
  <c r="O72" i="129"/>
  <c r="O83" i="129" s="1"/>
  <c r="H73" i="129"/>
  <c r="H70" i="129"/>
  <c r="J74" i="129"/>
  <c r="J85" i="129" s="1"/>
  <c r="L72" i="129"/>
  <c r="L83" i="129" s="1"/>
  <c r="H75" i="129"/>
  <c r="J73" i="129"/>
  <c r="J84" i="129" s="1"/>
  <c r="K75" i="129"/>
  <c r="K86" i="129" s="1"/>
  <c r="M73" i="129"/>
  <c r="M84" i="129" s="1"/>
  <c r="J75" i="129"/>
  <c r="J86" i="129" s="1"/>
  <c r="L73" i="129"/>
  <c r="L84" i="129" s="1"/>
  <c r="P71" i="129"/>
  <c r="P81" i="129" s="1"/>
  <c r="I70" i="129"/>
  <c r="I71" i="129"/>
  <c r="M75" i="129"/>
  <c r="M86" i="129" s="1"/>
  <c r="M74" i="129"/>
  <c r="M85" i="129" s="1"/>
  <c r="I73" i="129"/>
  <c r="L71" i="129"/>
  <c r="L81" i="129" s="1"/>
  <c r="N70" i="129"/>
  <c r="L40" i="88"/>
  <c r="C97" i="129"/>
  <c r="C93" i="129"/>
  <c r="O127" i="88"/>
  <c r="L33" i="88"/>
  <c r="J72" i="82"/>
  <c r="G72" i="82"/>
  <c r="R72" i="82" s="1"/>
  <c r="H9" i="146" s="1"/>
  <c r="L40" i="137"/>
  <c r="P40" i="137" s="1"/>
  <c r="L39" i="137"/>
  <c r="P39" i="137" s="1"/>
  <c r="L42" i="137"/>
  <c r="P42" i="137" s="1"/>
  <c r="L41" i="137"/>
  <c r="P41" i="137" s="1"/>
  <c r="D38" i="72"/>
  <c r="N38" i="72" s="1"/>
  <c r="N36" i="72"/>
  <c r="P36" i="72" s="1"/>
  <c r="D192" i="126"/>
  <c r="E192" i="126" s="1"/>
  <c r="E191" i="126"/>
  <c r="F191" i="126" s="1"/>
  <c r="G191" i="126" s="1"/>
  <c r="H191" i="126" s="1"/>
  <c r="E72" i="78"/>
  <c r="F72" i="78" s="1"/>
  <c r="K83" i="117"/>
  <c r="Q81" i="117"/>
  <c r="G58" i="61"/>
  <c r="F63" i="61"/>
  <c r="E40" i="122"/>
  <c r="E39" i="122" s="1"/>
  <c r="D13" i="121"/>
  <c r="D14" i="121" s="1"/>
  <c r="G11" i="90" s="1"/>
  <c r="E14" i="88"/>
  <c r="P37" i="100"/>
  <c r="O37" i="100"/>
  <c r="E45" i="88"/>
  <c r="I86" i="58"/>
  <c r="L41" i="99"/>
  <c r="P41" i="99" s="1"/>
  <c r="L42" i="99"/>
  <c r="P42" i="99" s="1"/>
  <c r="O38" i="99"/>
  <c r="L40" i="99"/>
  <c r="P40" i="99" s="1"/>
  <c r="L39" i="99"/>
  <c r="P39" i="99" s="1"/>
  <c r="E101" i="78"/>
  <c r="F101" i="78" s="1"/>
  <c r="J39" i="58"/>
  <c r="I97" i="82"/>
  <c r="I29" i="122"/>
  <c r="E58" i="130"/>
  <c r="F37" i="92"/>
  <c r="F41" i="92" s="1"/>
  <c r="E26" i="65" s="1"/>
  <c r="E29" i="65" s="1"/>
  <c r="E24" i="88"/>
  <c r="O37" i="99"/>
  <c r="P37" i="99"/>
  <c r="G40" i="122"/>
  <c r="G39" i="122" s="1"/>
  <c r="F13" i="121"/>
  <c r="F14" i="121" s="1"/>
  <c r="G18" i="90" s="1"/>
  <c r="F18" i="90" s="1"/>
  <c r="E35" i="88"/>
  <c r="G26" i="122"/>
  <c r="H8" i="146" s="1"/>
  <c r="N45" i="72"/>
  <c r="L41" i="136"/>
  <c r="P41" i="136" s="1"/>
  <c r="L39" i="136"/>
  <c r="P39" i="136" s="1"/>
  <c r="L42" i="136"/>
  <c r="P42" i="136" s="1"/>
  <c r="L40" i="136"/>
  <c r="P40" i="136" s="1"/>
  <c r="G195" i="126"/>
  <c r="G196" i="126" s="1"/>
  <c r="G14" i="66"/>
  <c r="L11" i="66"/>
  <c r="E15" i="66"/>
  <c r="E16" i="66" s="1"/>
  <c r="F16" i="66" s="1"/>
  <c r="F14" i="66"/>
  <c r="D26" i="66" l="1"/>
  <c r="R161" i="82"/>
  <c r="M165" i="82" s="1"/>
  <c r="F192" i="126"/>
  <c r="G192" i="126" s="1"/>
  <c r="H192" i="126" s="1"/>
  <c r="I6" i="146"/>
  <c r="N86" i="58"/>
  <c r="I14" i="122"/>
  <c r="H193" i="126"/>
  <c r="G56" i="140" s="1"/>
  <c r="G101" i="82"/>
  <c r="R101" i="82" s="1"/>
  <c r="I25" i="122"/>
  <c r="F39" i="54"/>
  <c r="G35" i="54" s="1"/>
  <c r="H35" i="54"/>
  <c r="E40" i="54"/>
  <c r="G14" i="133"/>
  <c r="I14" i="133"/>
  <c r="B15" i="133" s="1"/>
  <c r="F89" i="54"/>
  <c r="G85" i="54" s="1"/>
  <c r="H85" i="54"/>
  <c r="E90" i="54"/>
  <c r="E59" i="78"/>
  <c r="F14" i="61"/>
  <c r="N22" i="72"/>
  <c r="AF14" i="113"/>
  <c r="N22" i="113"/>
  <c r="AF22" i="113" s="1"/>
  <c r="D21" i="98" s="1"/>
  <c r="D22" i="98" s="1"/>
  <c r="Z14" i="113"/>
  <c r="Z22" i="113" s="1"/>
  <c r="U33" i="113"/>
  <c r="X22" i="113"/>
  <c r="F21" i="98"/>
  <c r="E22" i="98"/>
  <c r="O70" i="54"/>
  <c r="O72" i="54" s="1"/>
  <c r="O74" i="54" s="1"/>
  <c r="O76" i="54" s="1"/>
  <c r="P41" i="58" s="1"/>
  <c r="G90" i="82"/>
  <c r="N90" i="82" s="1"/>
  <c r="G89" i="82"/>
  <c r="N89" i="82" s="1"/>
  <c r="L40" i="100"/>
  <c r="P40" i="100" s="1"/>
  <c r="L42" i="100"/>
  <c r="P42" i="100" s="1"/>
  <c r="L39" i="100"/>
  <c r="P39" i="100" s="1"/>
  <c r="O38" i="100"/>
  <c r="J45" i="88"/>
  <c r="O142" i="88"/>
  <c r="I182" i="126"/>
  <c r="H182" i="126" s="1"/>
  <c r="I40" i="122"/>
  <c r="I39" i="122" s="1"/>
  <c r="J13" i="121"/>
  <c r="J14" i="121" s="1"/>
  <c r="L29" i="137"/>
  <c r="P29" i="137" s="1"/>
  <c r="L29" i="100"/>
  <c r="J35" i="88"/>
  <c r="I41" i="113"/>
  <c r="K33" i="113"/>
  <c r="K41" i="113" s="1"/>
  <c r="AA32" i="113" s="1"/>
  <c r="J141" i="126"/>
  <c r="J144" i="126" s="1"/>
  <c r="E239" i="126" s="1"/>
  <c r="R97" i="82"/>
  <c r="T98" i="82" s="1"/>
  <c r="I22" i="122"/>
  <c r="I23" i="122" s="1"/>
  <c r="G100" i="82"/>
  <c r="G105" i="82" s="1"/>
  <c r="H15" i="54"/>
  <c r="H20" i="54"/>
  <c r="I13" i="54"/>
  <c r="F21" i="54"/>
  <c r="E23" i="54"/>
  <c r="L48" i="116"/>
  <c r="O44" i="116"/>
  <c r="I69" i="54"/>
  <c r="M65" i="54"/>
  <c r="N65" i="54" s="1"/>
  <c r="M30" i="114"/>
  <c r="N28" i="114"/>
  <c r="M29" i="114"/>
  <c r="H71" i="54"/>
  <c r="H66" i="54"/>
  <c r="I64" i="54"/>
  <c r="L71" i="116"/>
  <c r="L75" i="116" s="1"/>
  <c r="K71" i="70"/>
  <c r="K75" i="70" s="1"/>
  <c r="K75" i="115"/>
  <c r="K44" i="70"/>
  <c r="K48" i="70" s="1"/>
  <c r="K48" i="115"/>
  <c r="L44" i="115"/>
  <c r="F22" i="55"/>
  <c r="E23" i="55"/>
  <c r="M71" i="116"/>
  <c r="M75" i="116" s="1"/>
  <c r="M48" i="116"/>
  <c r="N40" i="58" s="1"/>
  <c r="H32" i="55"/>
  <c r="E40" i="55"/>
  <c r="E74" i="54"/>
  <c r="F72" i="54"/>
  <c r="O17" i="115"/>
  <c r="M44" i="115"/>
  <c r="L71" i="115"/>
  <c r="L17" i="70"/>
  <c r="L21" i="70" s="1"/>
  <c r="K59" i="61" s="1"/>
  <c r="L59" i="61" s="1"/>
  <c r="L21" i="115"/>
  <c r="M12" i="114" s="1"/>
  <c r="I75" i="115"/>
  <c r="I71" i="70"/>
  <c r="I75" i="70" s="1"/>
  <c r="O21" i="116"/>
  <c r="D29" i="116"/>
  <c r="O71" i="116"/>
  <c r="O75" i="116" s="1"/>
  <c r="E73" i="78"/>
  <c r="F73" i="78" s="1"/>
  <c r="H18" i="54"/>
  <c r="J14" i="58"/>
  <c r="H18" i="55"/>
  <c r="K13" i="55" s="1"/>
  <c r="H21" i="55"/>
  <c r="I13" i="55"/>
  <c r="I18" i="55" s="1"/>
  <c r="N118" i="82"/>
  <c r="Q118" i="82" s="1"/>
  <c r="G120" i="82"/>
  <c r="J118" i="82"/>
  <c r="J120" i="82" s="1"/>
  <c r="J51" i="82"/>
  <c r="J53" i="82" s="1"/>
  <c r="N51" i="82"/>
  <c r="F25" i="122"/>
  <c r="F26" i="122" s="1"/>
  <c r="G53" i="82"/>
  <c r="Q152" i="82"/>
  <c r="L29" i="136"/>
  <c r="P29" i="136" s="1"/>
  <c r="L29" i="99"/>
  <c r="R73" i="129"/>
  <c r="R84" i="129" s="1"/>
  <c r="I84" i="129"/>
  <c r="R70" i="129"/>
  <c r="I80" i="129"/>
  <c r="I76" i="129"/>
  <c r="K80" i="129"/>
  <c r="K76" i="129"/>
  <c r="H83" i="129"/>
  <c r="Q72" i="129"/>
  <c r="Q83" i="129" s="1"/>
  <c r="R74" i="129"/>
  <c r="R85" i="129" s="1"/>
  <c r="I85" i="129"/>
  <c r="L31" i="100"/>
  <c r="L31" i="137"/>
  <c r="L14" i="136"/>
  <c r="L14" i="99"/>
  <c r="L35" i="88"/>
  <c r="L31" i="136"/>
  <c r="L31" i="99"/>
  <c r="P76" i="129"/>
  <c r="P80" i="129"/>
  <c r="O76" i="129"/>
  <c r="O80" i="129"/>
  <c r="C105" i="129"/>
  <c r="C112" i="129" s="1"/>
  <c r="N34" i="88"/>
  <c r="N80" i="129"/>
  <c r="N76" i="129"/>
  <c r="H76" i="129"/>
  <c r="H80" i="129"/>
  <c r="Q70" i="129"/>
  <c r="L76" i="129"/>
  <c r="L80" i="129"/>
  <c r="M80" i="129"/>
  <c r="M76" i="129"/>
  <c r="Q74" i="129"/>
  <c r="Q85" i="129" s="1"/>
  <c r="H85" i="129"/>
  <c r="J76" i="129"/>
  <c r="J80" i="129"/>
  <c r="Q71" i="129"/>
  <c r="Q81" i="129" s="1"/>
  <c r="H81" i="129"/>
  <c r="L30" i="100"/>
  <c r="N43" i="88"/>
  <c r="L30" i="137"/>
  <c r="L30" i="136"/>
  <c r="P30" i="136" s="1"/>
  <c r="L43" i="88"/>
  <c r="L30" i="99"/>
  <c r="C100" i="129"/>
  <c r="C91" i="129" s="1"/>
  <c r="I14" i="101"/>
  <c r="I81" i="129"/>
  <c r="R71" i="129"/>
  <c r="R81" i="129" s="1"/>
  <c r="Q75" i="129"/>
  <c r="Q86" i="129" s="1"/>
  <c r="H86" i="129"/>
  <c r="Q73" i="129"/>
  <c r="Q84" i="129" s="1"/>
  <c r="H84" i="129"/>
  <c r="R72" i="129"/>
  <c r="R83" i="129" s="1"/>
  <c r="I83" i="129"/>
  <c r="I86" i="129"/>
  <c r="R75" i="129"/>
  <c r="R86" i="129" s="1"/>
  <c r="L20" i="136"/>
  <c r="L20" i="99"/>
  <c r="L14" i="100"/>
  <c r="L14" i="137"/>
  <c r="P38" i="136"/>
  <c r="D46" i="72"/>
  <c r="N46" i="72" s="1"/>
  <c r="U37" i="99"/>
  <c r="W37" i="99" s="1"/>
  <c r="X37" i="99" s="1"/>
  <c r="E37" i="106" s="1"/>
  <c r="F16" i="121"/>
  <c r="H18" i="90" s="1"/>
  <c r="Q83" i="117"/>
  <c r="K84" i="117"/>
  <c r="Q84" i="117" s="1"/>
  <c r="I98" i="82"/>
  <c r="J97" i="82"/>
  <c r="P38" i="137"/>
  <c r="D16" i="121"/>
  <c r="H11" i="90" s="1"/>
  <c r="E39" i="58"/>
  <c r="G29" i="65"/>
  <c r="U37" i="100"/>
  <c r="W37" i="100" s="1"/>
  <c r="X37" i="100" s="1"/>
  <c r="E54" i="106" s="1"/>
  <c r="G12" i="90"/>
  <c r="F11" i="90"/>
  <c r="F12" i="90" s="1"/>
  <c r="P38" i="99"/>
  <c r="F67" i="61"/>
  <c r="G63" i="61"/>
  <c r="H195" i="126"/>
  <c r="H196" i="126" s="1"/>
  <c r="L14" i="66"/>
  <c r="L16" i="66" s="1"/>
  <c r="N11" i="66"/>
  <c r="N14" i="66" s="1"/>
  <c r="N16" i="66" s="1"/>
  <c r="G16" i="66"/>
  <c r="F26" i="66"/>
  <c r="E27" i="66"/>
  <c r="E28" i="66" s="1"/>
  <c r="F28" i="66" s="1"/>
  <c r="G26" i="66"/>
  <c r="L23" i="66"/>
  <c r="I24" i="122" l="1"/>
  <c r="L18" i="99"/>
  <c r="L17" i="99"/>
  <c r="P17" i="99" s="1"/>
  <c r="L16" i="99"/>
  <c r="P16" i="99" s="1"/>
  <c r="L15" i="99"/>
  <c r="I16" i="122"/>
  <c r="I17" i="122" s="1"/>
  <c r="I26" i="122" s="1"/>
  <c r="I8" i="146" s="1"/>
  <c r="J16" i="121"/>
  <c r="H24" i="90" s="1"/>
  <c r="I24" i="90" s="1"/>
  <c r="G24" i="90"/>
  <c r="F24" i="90" s="1"/>
  <c r="G89" i="54"/>
  <c r="G90" i="54" s="1"/>
  <c r="F90" i="54"/>
  <c r="H40" i="54"/>
  <c r="H39" i="54"/>
  <c r="I35" i="54" s="1"/>
  <c r="I15" i="133"/>
  <c r="G15" i="133"/>
  <c r="G40" i="54"/>
  <c r="G39" i="54"/>
  <c r="H89" i="54"/>
  <c r="I85" i="54" s="1"/>
  <c r="F40" i="54"/>
  <c r="W33" i="113"/>
  <c r="W41" i="113" s="1"/>
  <c r="U41" i="113"/>
  <c r="L22" i="99"/>
  <c r="P22" i="99" s="1"/>
  <c r="L21" i="99"/>
  <c r="P21" i="99" s="1"/>
  <c r="L24" i="99"/>
  <c r="L23" i="99"/>
  <c r="P23" i="99" s="1"/>
  <c r="G14" i="61"/>
  <c r="F17" i="61"/>
  <c r="F21" i="61" s="1"/>
  <c r="F22" i="98"/>
  <c r="G21" i="98"/>
  <c r="F59" i="78"/>
  <c r="F79" i="58"/>
  <c r="P38" i="100"/>
  <c r="U38" i="100" s="1"/>
  <c r="W38" i="100" s="1"/>
  <c r="X38" i="100" s="1"/>
  <c r="E55" i="106" s="1"/>
  <c r="H97" i="129"/>
  <c r="I184" i="126"/>
  <c r="F199" i="126"/>
  <c r="F202" i="126" s="1"/>
  <c r="E57" i="140" s="1"/>
  <c r="P29" i="100"/>
  <c r="O29" i="100"/>
  <c r="U29" i="100" s="1"/>
  <c r="W29" i="100" s="1"/>
  <c r="AC32" i="113"/>
  <c r="AC41" i="113" s="1"/>
  <c r="E12" i="98" s="1"/>
  <c r="AA41" i="113"/>
  <c r="E76" i="54"/>
  <c r="F74" i="54"/>
  <c r="K21" i="55"/>
  <c r="K23" i="55" s="1"/>
  <c r="K18" i="55"/>
  <c r="N13" i="55" s="1"/>
  <c r="L13" i="55"/>
  <c r="M71" i="115"/>
  <c r="M48" i="115"/>
  <c r="N14" i="58" s="1"/>
  <c r="M44" i="70"/>
  <c r="M48" i="70" s="1"/>
  <c r="F23" i="55"/>
  <c r="F22" i="58"/>
  <c r="O48" i="116"/>
  <c r="D56" i="116"/>
  <c r="H23" i="55"/>
  <c r="I21" i="55"/>
  <c r="L71" i="70"/>
  <c r="L75" i="70" s="1"/>
  <c r="L75" i="115"/>
  <c r="E42" i="55"/>
  <c r="F40" i="55"/>
  <c r="G29" i="116"/>
  <c r="E56" i="116"/>
  <c r="D33" i="116"/>
  <c r="P28" i="114" s="1"/>
  <c r="P30" i="114" s="1"/>
  <c r="M14" i="114"/>
  <c r="M13" i="114"/>
  <c r="N12" i="114"/>
  <c r="D29" i="115"/>
  <c r="O21" i="115"/>
  <c r="O17" i="70"/>
  <c r="O21" i="70" s="1"/>
  <c r="I32" i="55"/>
  <c r="I37" i="55" s="1"/>
  <c r="H40" i="55"/>
  <c r="H37" i="55"/>
  <c r="K32" i="55" s="1"/>
  <c r="I66" i="54"/>
  <c r="H70" i="54"/>
  <c r="I70" i="54" s="1"/>
  <c r="M32" i="114"/>
  <c r="N30" i="114"/>
  <c r="N45" i="58"/>
  <c r="O45" i="58" s="1"/>
  <c r="M13" i="54"/>
  <c r="I20" i="54"/>
  <c r="M14" i="54"/>
  <c r="I18" i="54"/>
  <c r="M69" i="54"/>
  <c r="O40" i="58"/>
  <c r="L44" i="70"/>
  <c r="L48" i="70" s="1"/>
  <c r="L48" i="115"/>
  <c r="O44" i="115"/>
  <c r="O71" i="115" s="1"/>
  <c r="M64" i="54"/>
  <c r="I71" i="54"/>
  <c r="E25" i="54"/>
  <c r="F23" i="54"/>
  <c r="I15" i="54"/>
  <c r="H19" i="54"/>
  <c r="I19" i="54" s="1"/>
  <c r="N53" i="82"/>
  <c r="Q51" i="82"/>
  <c r="P38" i="58"/>
  <c r="P49" i="58" s="1"/>
  <c r="P51" i="58" s="1"/>
  <c r="P56" i="58" s="1"/>
  <c r="P71" i="58" s="1"/>
  <c r="P72" i="58" s="1"/>
  <c r="C10" i="140" s="1"/>
  <c r="R120" i="82"/>
  <c r="G54" i="82"/>
  <c r="N54" i="82" s="1"/>
  <c r="G55" i="82"/>
  <c r="N55" i="82" s="1"/>
  <c r="I18" i="90"/>
  <c r="K18" i="90" s="1"/>
  <c r="U101" i="82"/>
  <c r="R152" i="82"/>
  <c r="R38" i="58"/>
  <c r="R49" i="58" s="1"/>
  <c r="R51" i="58" s="1"/>
  <c r="R56" i="58" s="1"/>
  <c r="R71" i="58" s="1"/>
  <c r="R72" i="58" s="1"/>
  <c r="E10" i="140" s="1"/>
  <c r="P29" i="99"/>
  <c r="O29" i="99"/>
  <c r="L17" i="100"/>
  <c r="P17" i="100" s="1"/>
  <c r="L18" i="100"/>
  <c r="P18" i="100" s="1"/>
  <c r="L15" i="100"/>
  <c r="P15" i="100" s="1"/>
  <c r="O14" i="100"/>
  <c r="L16" i="100"/>
  <c r="P16" i="100" s="1"/>
  <c r="I99" i="129"/>
  <c r="I94" i="129"/>
  <c r="O30" i="99"/>
  <c r="P30" i="99"/>
  <c r="N15" i="121"/>
  <c r="M45" i="122"/>
  <c r="M44" i="122" s="1"/>
  <c r="J93" i="129"/>
  <c r="J87" i="129"/>
  <c r="Q76" i="129"/>
  <c r="Q77" i="129" s="1"/>
  <c r="Q80" i="129"/>
  <c r="Q87" i="129" s="1"/>
  <c r="N93" i="129"/>
  <c r="N87" i="129"/>
  <c r="O14" i="99"/>
  <c r="P18" i="99"/>
  <c r="P15" i="99"/>
  <c r="I98" i="129"/>
  <c r="R80" i="129"/>
  <c r="R87" i="129" s="1"/>
  <c r="R76" i="129"/>
  <c r="L18" i="137"/>
  <c r="P18" i="137" s="1"/>
  <c r="L16" i="137"/>
  <c r="P16" i="137" s="1"/>
  <c r="L17" i="137"/>
  <c r="P17" i="137" s="1"/>
  <c r="L15" i="137"/>
  <c r="P15" i="137" s="1"/>
  <c r="J96" i="129"/>
  <c r="M94" i="129"/>
  <c r="H95" i="129"/>
  <c r="J95" i="129"/>
  <c r="N99" i="129"/>
  <c r="L97" i="129"/>
  <c r="M99" i="129"/>
  <c r="K98" i="129"/>
  <c r="O98" i="129"/>
  <c r="M96" i="129"/>
  <c r="P94" i="129"/>
  <c r="K97" i="129"/>
  <c r="O97" i="129"/>
  <c r="P96" i="129"/>
  <c r="L99" i="129"/>
  <c r="O95" i="129"/>
  <c r="M95" i="129"/>
  <c r="J94" i="129"/>
  <c r="O94" i="129"/>
  <c r="K99" i="129"/>
  <c r="M98" i="129"/>
  <c r="K94" i="129"/>
  <c r="N94" i="129"/>
  <c r="L94" i="129"/>
  <c r="P97" i="129"/>
  <c r="O99" i="129"/>
  <c r="J98" i="129"/>
  <c r="P95" i="129"/>
  <c r="K95" i="129"/>
  <c r="I95" i="129"/>
  <c r="L96" i="129"/>
  <c r="N98" i="129"/>
  <c r="J99" i="129"/>
  <c r="P98" i="129"/>
  <c r="L95" i="129"/>
  <c r="N95" i="129"/>
  <c r="N97" i="129"/>
  <c r="J97" i="129"/>
  <c r="N96" i="129"/>
  <c r="K96" i="129"/>
  <c r="M97" i="129"/>
  <c r="O96" i="129"/>
  <c r="L98" i="129"/>
  <c r="P99" i="129"/>
  <c r="L20" i="100"/>
  <c r="L20" i="137"/>
  <c r="L26" i="137" s="1"/>
  <c r="K40" i="122"/>
  <c r="K39" i="122" s="1"/>
  <c r="L13" i="121"/>
  <c r="L14" i="121" s="1"/>
  <c r="G31" i="90" s="1"/>
  <c r="H96" i="129"/>
  <c r="L26" i="99"/>
  <c r="P24" i="99"/>
  <c r="O20" i="99"/>
  <c r="I96" i="129"/>
  <c r="H99" i="129"/>
  <c r="K45" i="122"/>
  <c r="K44" i="122" s="1"/>
  <c r="L15" i="121"/>
  <c r="L45" i="88"/>
  <c r="P30" i="100"/>
  <c r="O30" i="100"/>
  <c r="L44" i="100"/>
  <c r="M93" i="129"/>
  <c r="M87" i="129"/>
  <c r="H87" i="129"/>
  <c r="H93" i="129"/>
  <c r="C111" i="129"/>
  <c r="C102" i="129" s="1"/>
  <c r="O87" i="129"/>
  <c r="O93" i="129"/>
  <c r="L34" i="99"/>
  <c r="P34" i="99" s="1"/>
  <c r="L33" i="99"/>
  <c r="P33" i="99" s="1"/>
  <c r="L44" i="99"/>
  <c r="L35" i="99"/>
  <c r="P35" i="99" s="1"/>
  <c r="O31" i="99"/>
  <c r="L32" i="99"/>
  <c r="P32" i="99" s="1"/>
  <c r="L15" i="136"/>
  <c r="P15" i="136" s="1"/>
  <c r="L18" i="136"/>
  <c r="P18" i="136" s="1"/>
  <c r="L16" i="136"/>
  <c r="P16" i="136" s="1"/>
  <c r="L17" i="136"/>
  <c r="P17" i="136" s="1"/>
  <c r="I20" i="101"/>
  <c r="K87" i="129"/>
  <c r="K93" i="129"/>
  <c r="I97" i="129"/>
  <c r="G14" i="101"/>
  <c r="P30" i="137"/>
  <c r="L44" i="137"/>
  <c r="P87" i="129"/>
  <c r="P93" i="129"/>
  <c r="L35" i="100"/>
  <c r="P35" i="100" s="1"/>
  <c r="O31" i="100"/>
  <c r="L33" i="100"/>
  <c r="P33" i="100" s="1"/>
  <c r="L34" i="100"/>
  <c r="P34" i="100" s="1"/>
  <c r="L32" i="100"/>
  <c r="P32" i="100" s="1"/>
  <c r="I93" i="129"/>
  <c r="I87" i="129"/>
  <c r="N35" i="88"/>
  <c r="N45" i="88" s="1"/>
  <c r="K6" i="146" s="1"/>
  <c r="L21" i="136"/>
  <c r="P21" i="136" s="1"/>
  <c r="L24" i="136"/>
  <c r="P24" i="136" s="1"/>
  <c r="L22" i="136"/>
  <c r="P22" i="136" s="1"/>
  <c r="L23" i="136"/>
  <c r="P23" i="136" s="1"/>
  <c r="L26" i="136"/>
  <c r="I18" i="101"/>
  <c r="H94" i="129"/>
  <c r="E14" i="101"/>
  <c r="H98" i="129"/>
  <c r="L87" i="129"/>
  <c r="L93" i="129"/>
  <c r="I13" i="101"/>
  <c r="L34" i="136"/>
  <c r="P34" i="136" s="1"/>
  <c r="L35" i="136"/>
  <c r="P35" i="136" s="1"/>
  <c r="L32" i="136"/>
  <c r="P32" i="136" s="1"/>
  <c r="L33" i="136"/>
  <c r="P33" i="136" s="1"/>
  <c r="L44" i="136"/>
  <c r="L35" i="137"/>
  <c r="P35" i="137" s="1"/>
  <c r="L33" i="137"/>
  <c r="P33" i="137" s="1"/>
  <c r="L32" i="137"/>
  <c r="P32" i="137" s="1"/>
  <c r="L34" i="137"/>
  <c r="P34" i="137" s="1"/>
  <c r="G12" i="67"/>
  <c r="H184" i="126"/>
  <c r="F68" i="61"/>
  <c r="G67" i="61"/>
  <c r="I100" i="82"/>
  <c r="J98" i="82"/>
  <c r="D39" i="78"/>
  <c r="E49" i="58"/>
  <c r="E51" i="58" s="1"/>
  <c r="E56" i="58" s="1"/>
  <c r="E71" i="58" s="1"/>
  <c r="G39" i="58"/>
  <c r="H12" i="90"/>
  <c r="I11" i="90"/>
  <c r="U38" i="99"/>
  <c r="W38" i="99" s="1"/>
  <c r="X38" i="99" s="1"/>
  <c r="E38" i="106" s="1"/>
  <c r="N23" i="66"/>
  <c r="N26" i="66" s="1"/>
  <c r="N28" i="66" s="1"/>
  <c r="L26" i="66"/>
  <c r="L28" i="66" s="1"/>
  <c r="G28" i="66"/>
  <c r="Q45" i="58"/>
  <c r="O44" i="99" l="1"/>
  <c r="J24" i="90"/>
  <c r="K24" i="90"/>
  <c r="G199" i="126"/>
  <c r="J204" i="126" s="1"/>
  <c r="J6" i="146"/>
  <c r="I89" i="54"/>
  <c r="J85" i="54" s="1"/>
  <c r="H90" i="54"/>
  <c r="B16" i="133"/>
  <c r="B17" i="133"/>
  <c r="I39" i="54"/>
  <c r="J35" i="54" s="1"/>
  <c r="F34" i="76"/>
  <c r="F64" i="76" s="1"/>
  <c r="G79" i="58"/>
  <c r="D5" i="140"/>
  <c r="F16" i="58"/>
  <c r="G21" i="61"/>
  <c r="F42" i="58"/>
  <c r="H21" i="98"/>
  <c r="H22" i="98" s="1"/>
  <c r="G22" i="98"/>
  <c r="F204" i="126"/>
  <c r="F205" i="126" s="1"/>
  <c r="D49" i="78"/>
  <c r="D51" i="78" s="1"/>
  <c r="D56" i="78" s="1"/>
  <c r="F39" i="78"/>
  <c r="O75" i="115"/>
  <c r="O71" i="70"/>
  <c r="O75" i="70" s="1"/>
  <c r="N14" i="54"/>
  <c r="E83" i="116"/>
  <c r="E87" i="116" s="1"/>
  <c r="E60" i="116"/>
  <c r="Q40" i="58" s="1"/>
  <c r="P69" i="54" s="1"/>
  <c r="G56" i="116"/>
  <c r="D83" i="116"/>
  <c r="D87" i="116" s="1"/>
  <c r="D60" i="116"/>
  <c r="N21" i="55"/>
  <c r="N23" i="55" s="1"/>
  <c r="Q22" i="58" s="1"/>
  <c r="N18" i="55"/>
  <c r="P13" i="55" s="1"/>
  <c r="H21" i="54"/>
  <c r="M66" i="54"/>
  <c r="N64" i="54"/>
  <c r="M71" i="54"/>
  <c r="M33" i="114"/>
  <c r="P27" i="114"/>
  <c r="N32" i="114"/>
  <c r="K40" i="55"/>
  <c r="L32" i="55"/>
  <c r="L37" i="55" s="1"/>
  <c r="K37" i="55"/>
  <c r="N32" i="55" s="1"/>
  <c r="H29" i="116"/>
  <c r="G33" i="116"/>
  <c r="G83" i="116"/>
  <c r="G87" i="116" s="1"/>
  <c r="M18" i="54"/>
  <c r="N18" i="54" s="1"/>
  <c r="O14" i="58"/>
  <c r="L23" i="55"/>
  <c r="N22" i="58"/>
  <c r="O22" i="58" s="1"/>
  <c r="D56" i="115"/>
  <c r="O48" i="115"/>
  <c r="O44" i="70"/>
  <c r="O48" i="70" s="1"/>
  <c r="N69" i="54"/>
  <c r="P65" i="54"/>
  <c r="M20" i="54"/>
  <c r="N13" i="54"/>
  <c r="M15" i="54"/>
  <c r="H72" i="54"/>
  <c r="H42" i="55"/>
  <c r="I40" i="55"/>
  <c r="M16" i="114"/>
  <c r="N19" i="58"/>
  <c r="O19" i="58" s="1"/>
  <c r="N14" i="114"/>
  <c r="E20" i="78"/>
  <c r="F20" i="78" s="1"/>
  <c r="G22" i="58"/>
  <c r="M75" i="115"/>
  <c r="M71" i="70"/>
  <c r="M75" i="70" s="1"/>
  <c r="F15" i="58"/>
  <c r="F25" i="54"/>
  <c r="E56" i="115"/>
  <c r="G29" i="115"/>
  <c r="D29" i="70"/>
  <c r="D33" i="70" s="1"/>
  <c r="N59" i="61" s="1"/>
  <c r="D83" i="115"/>
  <c r="F50" i="58"/>
  <c r="F42" i="55"/>
  <c r="I22" i="58"/>
  <c r="I23" i="55"/>
  <c r="L18" i="55"/>
  <c r="L21" i="55"/>
  <c r="F41" i="58"/>
  <c r="F76" i="54"/>
  <c r="L46" i="99"/>
  <c r="P31" i="100"/>
  <c r="P44" i="100" s="1"/>
  <c r="P31" i="99"/>
  <c r="R51" i="82"/>
  <c r="Q53" i="82"/>
  <c r="J18" i="90"/>
  <c r="H7" i="146" s="1"/>
  <c r="U29" i="99"/>
  <c r="W29" i="99" s="1"/>
  <c r="P20" i="136"/>
  <c r="J107" i="129"/>
  <c r="P14" i="137"/>
  <c r="L46" i="136"/>
  <c r="L16" i="121"/>
  <c r="H31" i="90" s="1"/>
  <c r="O26" i="99"/>
  <c r="O46" i="99" s="1"/>
  <c r="U30" i="99"/>
  <c r="W30" i="99" s="1"/>
  <c r="X30" i="99" s="1"/>
  <c r="E35" i="106" s="1"/>
  <c r="S86" i="58"/>
  <c r="H199" i="126"/>
  <c r="K204" i="126" s="1"/>
  <c r="K207" i="126" s="1"/>
  <c r="P31" i="136"/>
  <c r="P44" i="136" s="1"/>
  <c r="L104" i="129"/>
  <c r="L100" i="129"/>
  <c r="R93" i="129"/>
  <c r="I100" i="129"/>
  <c r="I104" i="129"/>
  <c r="L46" i="137"/>
  <c r="I108" i="129"/>
  <c r="R97" i="129"/>
  <c r="P14" i="136"/>
  <c r="H110" i="129"/>
  <c r="Q99" i="129"/>
  <c r="H107" i="129"/>
  <c r="Q96" i="129"/>
  <c r="L21" i="100"/>
  <c r="P21" i="100" s="1"/>
  <c r="L22" i="100"/>
  <c r="P22" i="100" s="1"/>
  <c r="L23" i="100"/>
  <c r="P23" i="100" s="1"/>
  <c r="O20" i="100"/>
  <c r="O26" i="100" s="1"/>
  <c r="L24" i="100"/>
  <c r="P24" i="100" s="1"/>
  <c r="M108" i="129"/>
  <c r="N108" i="129"/>
  <c r="J110" i="129"/>
  <c r="K106" i="129"/>
  <c r="P108" i="129"/>
  <c r="M109" i="129"/>
  <c r="M106" i="129"/>
  <c r="O108" i="129"/>
  <c r="O109" i="129"/>
  <c r="N110" i="129"/>
  <c r="N104" i="129"/>
  <c r="N100" i="129"/>
  <c r="J104" i="129"/>
  <c r="J100" i="129"/>
  <c r="K104" i="129"/>
  <c r="K100" i="129"/>
  <c r="M104" i="129"/>
  <c r="M100" i="129"/>
  <c r="Q86" i="58"/>
  <c r="I107" i="129"/>
  <c r="R96" i="129"/>
  <c r="P110" i="129"/>
  <c r="K107" i="129"/>
  <c r="N106" i="129"/>
  <c r="N109" i="129"/>
  <c r="P106" i="129"/>
  <c r="L105" i="129"/>
  <c r="K110" i="129"/>
  <c r="O106" i="129"/>
  <c r="K108" i="129"/>
  <c r="K109" i="129"/>
  <c r="J106" i="129"/>
  <c r="I109" i="129"/>
  <c r="R98" i="129"/>
  <c r="L26" i="100"/>
  <c r="L46" i="100" s="1"/>
  <c r="Q94" i="129"/>
  <c r="H105" i="129"/>
  <c r="M40" i="122"/>
  <c r="M39" i="122" s="1"/>
  <c r="N13" i="121"/>
  <c r="N14" i="121" s="1"/>
  <c r="G37" i="90" s="1"/>
  <c r="P100" i="129"/>
  <c r="P104" i="129"/>
  <c r="H100" i="129"/>
  <c r="Q93" i="129"/>
  <c r="H104" i="129"/>
  <c r="L109" i="129"/>
  <c r="N107" i="129"/>
  <c r="L106" i="129"/>
  <c r="L107" i="129"/>
  <c r="J109" i="129"/>
  <c r="N105" i="129"/>
  <c r="O105" i="129"/>
  <c r="L110" i="129"/>
  <c r="P105" i="129"/>
  <c r="M110" i="129"/>
  <c r="Q95" i="129"/>
  <c r="H106" i="129"/>
  <c r="R94" i="129"/>
  <c r="I105" i="129"/>
  <c r="Q97" i="129"/>
  <c r="P31" i="137"/>
  <c r="P44" i="137" s="1"/>
  <c r="H109" i="129"/>
  <c r="Q98" i="129"/>
  <c r="O104" i="129"/>
  <c r="O100" i="129"/>
  <c r="U30" i="100"/>
  <c r="O44" i="100"/>
  <c r="P20" i="99"/>
  <c r="L22" i="137"/>
  <c r="P22" i="137" s="1"/>
  <c r="L23" i="137"/>
  <c r="P23" i="137" s="1"/>
  <c r="L21" i="137"/>
  <c r="P21" i="137" s="1"/>
  <c r="L24" i="137"/>
  <c r="P24" i="137" s="1"/>
  <c r="O107" i="129"/>
  <c r="J108" i="129"/>
  <c r="P109" i="129"/>
  <c r="R95" i="129"/>
  <c r="I106" i="129"/>
  <c r="O110" i="129"/>
  <c r="K105" i="129"/>
  <c r="J105" i="129"/>
  <c r="P107" i="129"/>
  <c r="M107" i="129"/>
  <c r="L108" i="129"/>
  <c r="M105" i="129"/>
  <c r="P14" i="99"/>
  <c r="U14" i="99" s="1"/>
  <c r="W14" i="99" s="1"/>
  <c r="X14" i="99" s="1"/>
  <c r="E30" i="106" s="1"/>
  <c r="R99" i="129"/>
  <c r="I110" i="129"/>
  <c r="P14" i="100"/>
  <c r="H108" i="129"/>
  <c r="G68" i="61"/>
  <c r="I16" i="58"/>
  <c r="M13" i="65"/>
  <c r="M16" i="65" s="1"/>
  <c r="M13" i="58" s="1"/>
  <c r="M21" i="58" s="1"/>
  <c r="M23" i="58" s="1"/>
  <c r="M26" i="58" s="1"/>
  <c r="H12" i="67"/>
  <c r="I11" i="66"/>
  <c r="I14" i="66" s="1"/>
  <c r="I16" i="66" s="1"/>
  <c r="G18" i="67"/>
  <c r="K11" i="90"/>
  <c r="K12" i="90" s="1"/>
  <c r="I12" i="90"/>
  <c r="J11" i="90"/>
  <c r="I101" i="82"/>
  <c r="J100" i="82"/>
  <c r="F69" i="61"/>
  <c r="G37" i="122"/>
  <c r="N80" i="127"/>
  <c r="E83" i="127"/>
  <c r="G84" i="127"/>
  <c r="K86" i="127"/>
  <c r="M87" i="127"/>
  <c r="F83" i="127"/>
  <c r="N85" i="127"/>
  <c r="F87" i="127"/>
  <c r="F81" i="127"/>
  <c r="I84" i="127"/>
  <c r="K85" i="127"/>
  <c r="M86" i="127"/>
  <c r="K81" i="127"/>
  <c r="L83" i="127"/>
  <c r="D85" i="127"/>
  <c r="L87" i="127"/>
  <c r="D81" i="127"/>
  <c r="I83" i="127"/>
  <c r="M85" i="127"/>
  <c r="C80" i="127"/>
  <c r="E81" i="127"/>
  <c r="L84" i="127"/>
  <c r="D86" i="127"/>
  <c r="J87" i="127"/>
  <c r="J81" i="127"/>
  <c r="K83" i="127"/>
  <c r="M84" i="127"/>
  <c r="M80" i="127"/>
  <c r="F84" i="127"/>
  <c r="H85" i="127"/>
  <c r="F80" i="127"/>
  <c r="H81" i="127"/>
  <c r="M83" i="127"/>
  <c r="E87" i="127"/>
  <c r="G80" i="127"/>
  <c r="I81" i="127"/>
  <c r="F85" i="127"/>
  <c r="H86" i="127"/>
  <c r="N87" i="127"/>
  <c r="N81" i="127"/>
  <c r="C85" i="127"/>
  <c r="E86" i="127"/>
  <c r="C81" i="127"/>
  <c r="D83" i="127"/>
  <c r="J84" i="127"/>
  <c r="D87" i="127"/>
  <c r="J80" i="127"/>
  <c r="L81" i="127"/>
  <c r="E85" i="127"/>
  <c r="G86" i="127"/>
  <c r="I87" i="127"/>
  <c r="M81" i="127"/>
  <c r="D84" i="127"/>
  <c r="J85" i="127"/>
  <c r="L80" i="127"/>
  <c r="C83" i="127"/>
  <c r="E84" i="127"/>
  <c r="I86" i="127"/>
  <c r="K87" i="127"/>
  <c r="E80" i="127"/>
  <c r="H83" i="127"/>
  <c r="N84" i="127"/>
  <c r="F86" i="127"/>
  <c r="U31" i="100" l="1"/>
  <c r="W31" i="100" s="1"/>
  <c r="X31" i="100" s="1"/>
  <c r="E53" i="106" s="1"/>
  <c r="I7" i="146"/>
  <c r="J31" i="90"/>
  <c r="I37" i="122"/>
  <c r="I36" i="122" s="1"/>
  <c r="K104" i="127"/>
  <c r="E106" i="127"/>
  <c r="G105" i="127"/>
  <c r="L106" i="127"/>
  <c r="G108" i="127"/>
  <c r="F104" i="127"/>
  <c r="M106" i="127"/>
  <c r="K107" i="127"/>
  <c r="C101" i="127"/>
  <c r="H102" i="127"/>
  <c r="G101" i="127"/>
  <c r="G104" i="127"/>
  <c r="G106" i="127"/>
  <c r="C106" i="127"/>
  <c r="M105" i="127"/>
  <c r="L24" i="90"/>
  <c r="N107" i="127"/>
  <c r="K105" i="127"/>
  <c r="F106" i="127"/>
  <c r="C108" i="127"/>
  <c r="J101" i="127"/>
  <c r="E108" i="127"/>
  <c r="J104" i="127"/>
  <c r="H101" i="127"/>
  <c r="H109" i="127" s="1"/>
  <c r="D102" i="127"/>
  <c r="M104" i="127"/>
  <c r="H104" i="127"/>
  <c r="K101" i="127"/>
  <c r="C105" i="127"/>
  <c r="H107" i="127"/>
  <c r="J108" i="127"/>
  <c r="K106" i="127"/>
  <c r="N108" i="127"/>
  <c r="H106" i="127"/>
  <c r="F107" i="127"/>
  <c r="D108" i="127"/>
  <c r="M107" i="127"/>
  <c r="F108" i="127"/>
  <c r="M102" i="127"/>
  <c r="F105" i="127"/>
  <c r="H105" i="127"/>
  <c r="N101" i="127"/>
  <c r="F101" i="127"/>
  <c r="D106" i="127"/>
  <c r="H108" i="127"/>
  <c r="L102" i="127"/>
  <c r="L101" i="127"/>
  <c r="G102" i="127"/>
  <c r="F102" i="127"/>
  <c r="J106" i="127"/>
  <c r="N104" i="127"/>
  <c r="D107" i="127"/>
  <c r="I105" i="127"/>
  <c r="K108" i="127"/>
  <c r="J107" i="127"/>
  <c r="M108" i="127"/>
  <c r="D101" i="127"/>
  <c r="D104" i="127"/>
  <c r="E105" i="127"/>
  <c r="I102" i="127"/>
  <c r="H35" i="127" s="1"/>
  <c r="L105" i="127"/>
  <c r="K102" i="127"/>
  <c r="M101" i="127"/>
  <c r="J102" i="127"/>
  <c r="I107" i="127"/>
  <c r="E107" i="127"/>
  <c r="E101" i="127"/>
  <c r="C102" i="127"/>
  <c r="L108" i="127"/>
  <c r="E102" i="127"/>
  <c r="I104" i="127"/>
  <c r="I106" i="127"/>
  <c r="H41" i="127" s="1"/>
  <c r="I108" i="127"/>
  <c r="N106" i="127"/>
  <c r="C104" i="127"/>
  <c r="I101" i="127"/>
  <c r="E104" i="127"/>
  <c r="L107" i="127"/>
  <c r="J105" i="127"/>
  <c r="L104" i="127"/>
  <c r="N102" i="127"/>
  <c r="C107" i="127"/>
  <c r="D105" i="127"/>
  <c r="N105" i="127"/>
  <c r="G107" i="127"/>
  <c r="H87" i="127"/>
  <c r="G81" i="127"/>
  <c r="G85" i="127"/>
  <c r="O85" i="127" s="1"/>
  <c r="D41" i="127" s="1"/>
  <c r="E41" i="127" s="1"/>
  <c r="L86" i="127"/>
  <c r="K80" i="127"/>
  <c r="C84" i="127"/>
  <c r="L85" i="127"/>
  <c r="L88" i="127" s="1"/>
  <c r="G87" i="127"/>
  <c r="H80" i="127"/>
  <c r="N83" i="127"/>
  <c r="C86" i="127"/>
  <c r="O86" i="127" s="1"/>
  <c r="D42" i="127" s="1"/>
  <c r="E42" i="127" s="1"/>
  <c r="N86" i="127"/>
  <c r="C87" i="127"/>
  <c r="D80" i="127"/>
  <c r="J83" i="127"/>
  <c r="J88" i="127" s="1"/>
  <c r="K84" i="127"/>
  <c r="J86" i="127"/>
  <c r="I80" i="127"/>
  <c r="G83" i="127"/>
  <c r="H84" i="127"/>
  <c r="I85" i="127"/>
  <c r="L18" i="90"/>
  <c r="E31" i="90"/>
  <c r="F31" i="90" s="1"/>
  <c r="G16" i="133"/>
  <c r="I16" i="133"/>
  <c r="B19" i="133" s="1"/>
  <c r="J39" i="54"/>
  <c r="J40" i="54" s="1"/>
  <c r="I40" i="54"/>
  <c r="J89" i="54"/>
  <c r="J90" i="54" s="1"/>
  <c r="I17" i="133"/>
  <c r="B18" i="133" s="1"/>
  <c r="I18" i="133" s="1"/>
  <c r="G17" i="133"/>
  <c r="M8" i="133" s="1"/>
  <c r="I90" i="54"/>
  <c r="G16" i="58"/>
  <c r="E14" i="78"/>
  <c r="F14" i="78" s="1"/>
  <c r="E42" i="78"/>
  <c r="F42" i="78" s="1"/>
  <c r="G42" i="58"/>
  <c r="P14" i="54"/>
  <c r="P26" i="136"/>
  <c r="P46" i="136" s="1"/>
  <c r="P13" i="54"/>
  <c r="N20" i="54"/>
  <c r="L40" i="55"/>
  <c r="K42" i="55"/>
  <c r="E50" i="78"/>
  <c r="F50" i="78" s="1"/>
  <c r="G50" i="58"/>
  <c r="E83" i="115"/>
  <c r="E60" i="115"/>
  <c r="Q14" i="58" s="1"/>
  <c r="P18" i="54" s="1"/>
  <c r="R14" i="54" s="1"/>
  <c r="E56" i="70"/>
  <c r="E60" i="70" s="1"/>
  <c r="H74" i="54"/>
  <c r="I72" i="54"/>
  <c r="P66" i="54"/>
  <c r="P70" i="54" s="1"/>
  <c r="P72" i="54" s="1"/>
  <c r="P74" i="54" s="1"/>
  <c r="P76" i="54" s="1"/>
  <c r="Q41" i="58" s="1"/>
  <c r="G56" i="115"/>
  <c r="D60" i="115"/>
  <c r="D56" i="70"/>
  <c r="D60" i="70" s="1"/>
  <c r="H83" i="116"/>
  <c r="H87" i="116" s="1"/>
  <c r="H33" i="116"/>
  <c r="R28" i="114" s="1"/>
  <c r="R30" i="114" s="1"/>
  <c r="S45" i="58" s="1"/>
  <c r="K29" i="116"/>
  <c r="K33" i="116" s="1"/>
  <c r="I56" i="116"/>
  <c r="P18" i="55"/>
  <c r="P21" i="55"/>
  <c r="P23" i="55" s="1"/>
  <c r="S22" i="58" s="1"/>
  <c r="G60" i="116"/>
  <c r="H56" i="116"/>
  <c r="I42" i="55"/>
  <c r="I50" i="58"/>
  <c r="N71" i="54"/>
  <c r="P64" i="54"/>
  <c r="P71" i="54" s="1"/>
  <c r="R64" i="54" s="1"/>
  <c r="R71" i="54" s="1"/>
  <c r="D87" i="115"/>
  <c r="D83" i="70"/>
  <c r="D87" i="70" s="1"/>
  <c r="M17" i="114"/>
  <c r="N16" i="114"/>
  <c r="P11" i="114"/>
  <c r="N15" i="54"/>
  <c r="M19" i="54"/>
  <c r="N19" i="54" s="1"/>
  <c r="N40" i="55"/>
  <c r="N42" i="55" s="1"/>
  <c r="Q50" i="58" s="1"/>
  <c r="N37" i="55"/>
  <c r="P32" i="55" s="1"/>
  <c r="P29" i="114"/>
  <c r="P32" i="114"/>
  <c r="N66" i="54"/>
  <c r="M70" i="54"/>
  <c r="N70" i="54" s="1"/>
  <c r="R65" i="54"/>
  <c r="R66" i="54" s="1"/>
  <c r="H29" i="115"/>
  <c r="G33" i="115"/>
  <c r="G83" i="115"/>
  <c r="G29" i="70"/>
  <c r="G33" i="70" s="1"/>
  <c r="E41" i="78"/>
  <c r="F41" i="78" s="1"/>
  <c r="G41" i="58"/>
  <c r="J22" i="58"/>
  <c r="E81" i="78"/>
  <c r="F81" i="78" s="1"/>
  <c r="G15" i="58"/>
  <c r="E13" i="78"/>
  <c r="F13" i="78" s="1"/>
  <c r="H23" i="54"/>
  <c r="I21" i="54"/>
  <c r="R53" i="82"/>
  <c r="H38" i="58"/>
  <c r="U31" i="99"/>
  <c r="W31" i="99" s="1"/>
  <c r="X31" i="99" s="1"/>
  <c r="E36" i="106" s="1"/>
  <c r="P44" i="99"/>
  <c r="U44" i="99" s="1"/>
  <c r="R110" i="129"/>
  <c r="R107" i="129"/>
  <c r="R106" i="129"/>
  <c r="Q108" i="129"/>
  <c r="N16" i="121"/>
  <c r="H37" i="90" s="1"/>
  <c r="U20" i="99"/>
  <c r="P26" i="99"/>
  <c r="O111" i="129"/>
  <c r="O112" i="129"/>
  <c r="E241" i="126"/>
  <c r="N111" i="129"/>
  <c r="N112" i="129"/>
  <c r="I111" i="129"/>
  <c r="R104" i="129"/>
  <c r="I112" i="129"/>
  <c r="P20" i="137"/>
  <c r="P26" i="137" s="1"/>
  <c r="P46" i="137" s="1"/>
  <c r="O46" i="100"/>
  <c r="Q106" i="129"/>
  <c r="P112" i="129"/>
  <c r="P111" i="129"/>
  <c r="Q105" i="129"/>
  <c r="K111" i="129"/>
  <c r="K112" i="129"/>
  <c r="Q107" i="129"/>
  <c r="G202" i="126"/>
  <c r="G204" i="126" s="1"/>
  <c r="L111" i="129"/>
  <c r="L112" i="129"/>
  <c r="W30" i="100"/>
  <c r="X30" i="100" s="1"/>
  <c r="E52" i="106" s="1"/>
  <c r="U44" i="100"/>
  <c r="Q109" i="129"/>
  <c r="R105" i="129"/>
  <c r="H112" i="129"/>
  <c r="Q104" i="129"/>
  <c r="H111" i="129"/>
  <c r="R109" i="129"/>
  <c r="J112" i="129"/>
  <c r="J111" i="129"/>
  <c r="R108" i="129"/>
  <c r="R100" i="129"/>
  <c r="H202" i="126"/>
  <c r="U14" i="100"/>
  <c r="Q100" i="129"/>
  <c r="M112" i="129"/>
  <c r="M111" i="129"/>
  <c r="P20" i="100"/>
  <c r="U20" i="100" s="1"/>
  <c r="W20" i="100" s="1"/>
  <c r="X20" i="100" s="1"/>
  <c r="E48" i="106" s="1"/>
  <c r="Q110" i="129"/>
  <c r="O80" i="127"/>
  <c r="H18" i="67"/>
  <c r="M26" i="65"/>
  <c r="M29" i="65" s="1"/>
  <c r="M39" i="58" s="1"/>
  <c r="M49" i="58" s="1"/>
  <c r="M51" i="58" s="1"/>
  <c r="M56" i="58" s="1"/>
  <c r="I23" i="66"/>
  <c r="I26" i="66" s="1"/>
  <c r="I28" i="66" s="1"/>
  <c r="F88" i="127"/>
  <c r="G69" i="61"/>
  <c r="I42" i="58"/>
  <c r="K88" i="127"/>
  <c r="O84" i="127"/>
  <c r="D40" i="127" s="1"/>
  <c r="E40" i="127" s="1"/>
  <c r="H88" i="127"/>
  <c r="O87" i="127"/>
  <c r="D43" i="127" s="1"/>
  <c r="E43" i="127" s="1"/>
  <c r="D88" i="127"/>
  <c r="I88" i="127"/>
  <c r="E37" i="122"/>
  <c r="L11" i="90"/>
  <c r="L12" i="90" s="1"/>
  <c r="J12" i="90"/>
  <c r="L61" i="127"/>
  <c r="C64" i="127"/>
  <c r="E65" i="127"/>
  <c r="G66" i="127"/>
  <c r="I67" i="127"/>
  <c r="K68" i="127"/>
  <c r="I61" i="127"/>
  <c r="K62" i="127"/>
  <c r="L64" i="127"/>
  <c r="D66" i="127"/>
  <c r="J67" i="127"/>
  <c r="L68" i="127"/>
  <c r="N61" i="127"/>
  <c r="E64" i="127"/>
  <c r="G65" i="127"/>
  <c r="I66" i="127"/>
  <c r="K67" i="127"/>
  <c r="M68" i="127"/>
  <c r="K61" i="127"/>
  <c r="M62" i="127"/>
  <c r="D65" i="127"/>
  <c r="J66" i="127"/>
  <c r="L67" i="127"/>
  <c r="F62" i="127"/>
  <c r="G64" i="127"/>
  <c r="I65" i="127"/>
  <c r="K66" i="127"/>
  <c r="M67" i="127"/>
  <c r="M61" i="127"/>
  <c r="F65" i="127"/>
  <c r="H66" i="127"/>
  <c r="N67" i="127"/>
  <c r="D62" i="127"/>
  <c r="I64" i="127"/>
  <c r="K65" i="127"/>
  <c r="M66" i="127"/>
  <c r="F64" i="127"/>
  <c r="H65" i="127"/>
  <c r="N66" i="127"/>
  <c r="F68" i="127"/>
  <c r="D61" i="127"/>
  <c r="J62" i="127"/>
  <c r="K64" i="127"/>
  <c r="M65" i="127"/>
  <c r="C68" i="127"/>
  <c r="C62" i="127"/>
  <c r="D64" i="127"/>
  <c r="J65" i="127"/>
  <c r="L66" i="127"/>
  <c r="D68" i="127"/>
  <c r="F61" i="127"/>
  <c r="H62" i="127"/>
  <c r="M64" i="127"/>
  <c r="C67" i="127"/>
  <c r="E68" i="127"/>
  <c r="C61" i="127"/>
  <c r="E62" i="127"/>
  <c r="J64" i="127"/>
  <c r="L65" i="127"/>
  <c r="D67" i="127"/>
  <c r="J68" i="127"/>
  <c r="H61" i="127"/>
  <c r="N62" i="127"/>
  <c r="C66" i="127"/>
  <c r="E67" i="127"/>
  <c r="G68" i="127"/>
  <c r="E61" i="127"/>
  <c r="G62" i="127"/>
  <c r="H64" i="127"/>
  <c r="N65" i="127"/>
  <c r="F67" i="127"/>
  <c r="H68" i="127"/>
  <c r="J61" i="127"/>
  <c r="L62" i="127"/>
  <c r="C65" i="127"/>
  <c r="E66" i="127"/>
  <c r="G67" i="127"/>
  <c r="I68" i="127"/>
  <c r="G61" i="127"/>
  <c r="I62" i="127"/>
  <c r="N64" i="127"/>
  <c r="F66" i="127"/>
  <c r="H67" i="127"/>
  <c r="N68" i="127"/>
  <c r="N13" i="65"/>
  <c r="N16" i="65" s="1"/>
  <c r="J11" i="66"/>
  <c r="J14" i="66" s="1"/>
  <c r="M88" i="127"/>
  <c r="E88" i="127"/>
  <c r="D57" i="130"/>
  <c r="E57" i="130" s="1"/>
  <c r="F57" i="130" s="1"/>
  <c r="G57" i="130" s="1"/>
  <c r="G36" i="122"/>
  <c r="J101" i="82"/>
  <c r="J105" i="82" s="1"/>
  <c r="J16" i="58"/>
  <c r="E75" i="78"/>
  <c r="F75" i="78" s="1"/>
  <c r="O83" i="127" l="1"/>
  <c r="D39" i="127" s="1"/>
  <c r="N88" i="127"/>
  <c r="E109" i="127"/>
  <c r="I31" i="90"/>
  <c r="K31" i="90" s="1"/>
  <c r="G88" i="127"/>
  <c r="C88" i="127"/>
  <c r="I28" i="122"/>
  <c r="I34" i="122"/>
  <c r="I38" i="122"/>
  <c r="G39" i="127"/>
  <c r="O104" i="127"/>
  <c r="L109" i="127"/>
  <c r="G109" i="127"/>
  <c r="O81" i="127"/>
  <c r="D35" i="127" s="1"/>
  <c r="E35" i="127" s="1"/>
  <c r="O107" i="127"/>
  <c r="G42" i="127"/>
  <c r="N109" i="127"/>
  <c r="G41" i="127"/>
  <c r="I41" i="127" s="1"/>
  <c r="J41" i="127" s="1"/>
  <c r="O106" i="127"/>
  <c r="H34" i="127"/>
  <c r="I109" i="127"/>
  <c r="O102" i="127"/>
  <c r="G35" i="127"/>
  <c r="I35" i="127" s="1"/>
  <c r="J35" i="127" s="1"/>
  <c r="K109" i="127"/>
  <c r="O108" i="127"/>
  <c r="G43" i="127"/>
  <c r="H39" i="127"/>
  <c r="M109" i="127"/>
  <c r="F109" i="127"/>
  <c r="J7" i="146"/>
  <c r="G93" i="117"/>
  <c r="J93" i="117"/>
  <c r="E93" i="117"/>
  <c r="H93" i="117"/>
  <c r="I93" i="117"/>
  <c r="F93" i="117"/>
  <c r="L93" i="117"/>
  <c r="M93" i="117"/>
  <c r="K93" i="117"/>
  <c r="N93" i="117"/>
  <c r="L31" i="90"/>
  <c r="C126" i="127"/>
  <c r="F125" i="127"/>
  <c r="I124" i="127"/>
  <c r="I122" i="127"/>
  <c r="N128" i="127"/>
  <c r="G126" i="127"/>
  <c r="D124" i="127"/>
  <c r="F121" i="127"/>
  <c r="E128" i="127"/>
  <c r="J126" i="127"/>
  <c r="I125" i="127"/>
  <c r="G122" i="127"/>
  <c r="H128" i="127"/>
  <c r="E126" i="127"/>
  <c r="H125" i="127"/>
  <c r="J122" i="127"/>
  <c r="I121" i="127"/>
  <c r="J127" i="127"/>
  <c r="G125" i="127"/>
  <c r="C121" i="127"/>
  <c r="D127" i="127"/>
  <c r="H121" i="127"/>
  <c r="M126" i="127"/>
  <c r="C124" i="127"/>
  <c r="L126" i="127"/>
  <c r="M122" i="127"/>
  <c r="M127" i="127"/>
  <c r="L122" i="127"/>
  <c r="F128" i="127"/>
  <c r="N121" i="127"/>
  <c r="J124" i="127"/>
  <c r="E6" i="139"/>
  <c r="P93" i="117"/>
  <c r="E127" i="127"/>
  <c r="H126" i="127"/>
  <c r="K125" i="127"/>
  <c r="N124" i="127"/>
  <c r="L121" i="127"/>
  <c r="I127" i="127"/>
  <c r="J125" i="127"/>
  <c r="H122" i="127"/>
  <c r="K121" i="127"/>
  <c r="L127" i="127"/>
  <c r="K126" i="127"/>
  <c r="H124" i="127"/>
  <c r="J121" i="127"/>
  <c r="G127" i="127"/>
  <c r="N126" i="127"/>
  <c r="K124" i="127"/>
  <c r="K122" i="127"/>
  <c r="L128" i="127"/>
  <c r="I126" i="127"/>
  <c r="E122" i="127"/>
  <c r="J128" i="127"/>
  <c r="K37" i="122"/>
  <c r="K36" i="122" s="1"/>
  <c r="G128" i="127"/>
  <c r="N127" i="127"/>
  <c r="F126" i="127"/>
  <c r="K128" i="127"/>
  <c r="M124" i="127"/>
  <c r="F122" i="127"/>
  <c r="N125" i="127"/>
  <c r="I128" i="127"/>
  <c r="M125" i="127"/>
  <c r="L124" i="127"/>
  <c r="K127" i="127"/>
  <c r="O93" i="117"/>
  <c r="N122" i="127"/>
  <c r="H127" i="127"/>
  <c r="C127" i="127"/>
  <c r="F127" i="127"/>
  <c r="C128" i="127"/>
  <c r="L125" i="127"/>
  <c r="D125" i="127"/>
  <c r="D122" i="127"/>
  <c r="C122" i="127"/>
  <c r="F124" i="127"/>
  <c r="E124" i="127"/>
  <c r="G121" i="127"/>
  <c r="E121" i="127"/>
  <c r="D121" i="127"/>
  <c r="M121" i="127"/>
  <c r="E125" i="127"/>
  <c r="C125" i="127"/>
  <c r="D126" i="127"/>
  <c r="G124" i="127"/>
  <c r="J37" i="90"/>
  <c r="E37" i="90" s="1"/>
  <c r="I37" i="90" s="1"/>
  <c r="K37" i="90" s="1"/>
  <c r="D128" i="127"/>
  <c r="M128" i="127"/>
  <c r="H43" i="127"/>
  <c r="I43" i="127" s="1"/>
  <c r="J43" i="127" s="1"/>
  <c r="H42" i="127"/>
  <c r="D109" i="127"/>
  <c r="H40" i="127"/>
  <c r="O105" i="127"/>
  <c r="G40" i="127"/>
  <c r="J109" i="127"/>
  <c r="O101" i="127"/>
  <c r="G34" i="127"/>
  <c r="C109" i="127"/>
  <c r="I19" i="133"/>
  <c r="B20" i="133" s="1"/>
  <c r="G19" i="133"/>
  <c r="M34" i="133"/>
  <c r="D92" i="54" s="1"/>
  <c r="M9" i="133"/>
  <c r="M28" i="133"/>
  <c r="D42" i="54" s="1"/>
  <c r="G18" i="133"/>
  <c r="J207" i="126"/>
  <c r="L204" i="126"/>
  <c r="L207" i="126" s="1"/>
  <c r="M21" i="54"/>
  <c r="M72" i="54"/>
  <c r="P46" i="99"/>
  <c r="U46" i="99" s="1"/>
  <c r="H204" i="126"/>
  <c r="O11" i="66" s="1"/>
  <c r="O14" i="66" s="1"/>
  <c r="O16" i="66" s="1"/>
  <c r="G57" i="140"/>
  <c r="G205" i="126"/>
  <c r="M23" i="66" s="1"/>
  <c r="F57" i="140"/>
  <c r="L42" i="55"/>
  <c r="N50" i="58"/>
  <c r="O50" i="58" s="1"/>
  <c r="R27" i="114"/>
  <c r="P33" i="114"/>
  <c r="M23" i="54"/>
  <c r="N21" i="54"/>
  <c r="K56" i="116"/>
  <c r="H60" i="116"/>
  <c r="I60" i="116"/>
  <c r="S40" i="58" s="1"/>
  <c r="R69" i="54" s="1"/>
  <c r="R70" i="54" s="1"/>
  <c r="R72" i="54" s="1"/>
  <c r="R74" i="54" s="1"/>
  <c r="R76" i="54" s="1"/>
  <c r="S41" i="58" s="1"/>
  <c r="I83" i="116"/>
  <c r="I87" i="116" s="1"/>
  <c r="E87" i="115"/>
  <c r="E83" i="70"/>
  <c r="E87" i="70" s="1"/>
  <c r="I23" i="54"/>
  <c r="H25" i="54"/>
  <c r="H33" i="115"/>
  <c r="R12" i="114" s="1"/>
  <c r="R14" i="114" s="1"/>
  <c r="S19" i="58" s="1"/>
  <c r="I56" i="115"/>
  <c r="K29" i="115"/>
  <c r="H29" i="70"/>
  <c r="H33" i="70" s="1"/>
  <c r="P59" i="61" s="1"/>
  <c r="P16" i="114"/>
  <c r="P13" i="114"/>
  <c r="G87" i="115"/>
  <c r="G83" i="70"/>
  <c r="G87" i="70" s="1"/>
  <c r="N72" i="54"/>
  <c r="M74" i="54"/>
  <c r="I74" i="54"/>
  <c r="H76" i="54"/>
  <c r="P40" i="55"/>
  <c r="P42" i="55" s="1"/>
  <c r="S50" i="58" s="1"/>
  <c r="P37" i="55"/>
  <c r="J50" i="58"/>
  <c r="E112" i="78"/>
  <c r="F112" i="78" s="1"/>
  <c r="G60" i="115"/>
  <c r="H56" i="115"/>
  <c r="G56" i="70"/>
  <c r="G60" i="70" s="1"/>
  <c r="P20" i="54"/>
  <c r="R13" i="54" s="1"/>
  <c r="R20" i="54" s="1"/>
  <c r="P15" i="54"/>
  <c r="P19" i="54" s="1"/>
  <c r="P21" i="54" s="1"/>
  <c r="P23" i="54" s="1"/>
  <c r="P25" i="54" s="1"/>
  <c r="Q15" i="58" s="1"/>
  <c r="W44" i="99"/>
  <c r="X44" i="99" s="1"/>
  <c r="D100" i="78"/>
  <c r="H49" i="58"/>
  <c r="H51" i="58" s="1"/>
  <c r="H56" i="58" s="1"/>
  <c r="H71" i="58" s="1"/>
  <c r="H72" i="58" s="1"/>
  <c r="J38" i="58"/>
  <c r="M204" i="126"/>
  <c r="M207" i="126" s="1"/>
  <c r="P26" i="100"/>
  <c r="P46" i="100" s="1"/>
  <c r="R111" i="129"/>
  <c r="R112" i="129" s="1"/>
  <c r="K60" i="61"/>
  <c r="L60" i="61" s="1"/>
  <c r="H5" i="140"/>
  <c r="U26" i="99"/>
  <c r="W20" i="99"/>
  <c r="U26" i="100"/>
  <c r="W26" i="100" s="1"/>
  <c r="X26" i="100" s="1"/>
  <c r="W14" i="100"/>
  <c r="X14" i="100" s="1"/>
  <c r="E47" i="106" s="1"/>
  <c r="Q111" i="129"/>
  <c r="Q112" i="129"/>
  <c r="W44" i="100"/>
  <c r="X44" i="100" s="1"/>
  <c r="D37" i="122"/>
  <c r="Y13" i="131"/>
  <c r="U13" i="131"/>
  <c r="Q13" i="131"/>
  <c r="W12" i="131"/>
  <c r="S12" i="131"/>
  <c r="O12" i="131"/>
  <c r="Y11" i="131"/>
  <c r="U11" i="131"/>
  <c r="Q11" i="131"/>
  <c r="W10" i="131"/>
  <c r="S10" i="131"/>
  <c r="O10" i="131"/>
  <c r="Y9" i="131"/>
  <c r="U9" i="131"/>
  <c r="Q9" i="131"/>
  <c r="Z8" i="131"/>
  <c r="V8" i="131"/>
  <c r="R8" i="131"/>
  <c r="W7" i="131"/>
  <c r="S7" i="131"/>
  <c r="O7" i="131"/>
  <c r="Y6" i="131"/>
  <c r="U6" i="131"/>
  <c r="Q6" i="131"/>
  <c r="X13" i="131"/>
  <c r="T13" i="131"/>
  <c r="P13" i="131"/>
  <c r="Z12" i="131"/>
  <c r="V12" i="131"/>
  <c r="R12" i="131"/>
  <c r="X11" i="131"/>
  <c r="T11" i="131"/>
  <c r="P11" i="131"/>
  <c r="Z10" i="131"/>
  <c r="V10" i="131"/>
  <c r="R10" i="131"/>
  <c r="X9" i="131"/>
  <c r="T9" i="131"/>
  <c r="P9" i="131"/>
  <c r="Y8" i="131"/>
  <c r="U8" i="131"/>
  <c r="Q8" i="131"/>
  <c r="Z7" i="131"/>
  <c r="V7" i="131"/>
  <c r="R7" i="131"/>
  <c r="X6" i="131"/>
  <c r="T6" i="131"/>
  <c r="P6" i="131"/>
  <c r="W13" i="131"/>
  <c r="S13" i="131"/>
  <c r="O13" i="131"/>
  <c r="Y12" i="131"/>
  <c r="U12" i="131"/>
  <c r="Q12" i="131"/>
  <c r="W11" i="131"/>
  <c r="S11" i="131"/>
  <c r="O11" i="131"/>
  <c r="Y10" i="131"/>
  <c r="U10" i="131"/>
  <c r="Q10" i="131"/>
  <c r="W9" i="131"/>
  <c r="S9" i="131"/>
  <c r="O9" i="131"/>
  <c r="X8" i="131"/>
  <c r="T8" i="131"/>
  <c r="P8" i="131"/>
  <c r="Y7" i="131"/>
  <c r="U7" i="131"/>
  <c r="Q7" i="131"/>
  <c r="W6" i="131"/>
  <c r="S6" i="131"/>
  <c r="O6" i="131"/>
  <c r="Z13" i="131"/>
  <c r="V13" i="131"/>
  <c r="R13" i="131"/>
  <c r="X12" i="131"/>
  <c r="T12" i="131"/>
  <c r="P12" i="131"/>
  <c r="Z11" i="131"/>
  <c r="V11" i="131"/>
  <c r="R11" i="131"/>
  <c r="X10" i="131"/>
  <c r="T10" i="131"/>
  <c r="P10" i="131"/>
  <c r="Z9" i="131"/>
  <c r="V9" i="131"/>
  <c r="R9" i="131"/>
  <c r="W8" i="131"/>
  <c r="S8" i="131"/>
  <c r="O8" i="131"/>
  <c r="X7" i="131"/>
  <c r="T7" i="131"/>
  <c r="P7" i="131"/>
  <c r="Z6" i="131"/>
  <c r="V6" i="131"/>
  <c r="R6" i="131"/>
  <c r="E104" i="78"/>
  <c r="F104" i="78" s="1"/>
  <c r="J42" i="58"/>
  <c r="O88" i="127"/>
  <c r="D34" i="127"/>
  <c r="G38" i="122"/>
  <c r="G28" i="122"/>
  <c r="G30" i="122" s="1"/>
  <c r="G34" i="122"/>
  <c r="O65" i="127"/>
  <c r="D19" i="127" s="1"/>
  <c r="O16" i="65"/>
  <c r="N13" i="58"/>
  <c r="E69" i="127"/>
  <c r="O62" i="127"/>
  <c r="D14" i="127" s="1"/>
  <c r="O64" i="127"/>
  <c r="D18" i="127" s="1"/>
  <c r="C57" i="130"/>
  <c r="E36" i="122"/>
  <c r="R105" i="82"/>
  <c r="I9" i="146" s="1"/>
  <c r="J16" i="66"/>
  <c r="K16" i="66" s="1"/>
  <c r="K14" i="66"/>
  <c r="O66" i="127"/>
  <c r="D20" i="127" s="1"/>
  <c r="O61" i="127"/>
  <c r="C69" i="127"/>
  <c r="D44" i="127"/>
  <c r="E39" i="127"/>
  <c r="G69" i="127"/>
  <c r="F69" i="127"/>
  <c r="K69" i="127"/>
  <c r="I69" i="127"/>
  <c r="N26" i="65"/>
  <c r="N29" i="65" s="1"/>
  <c r="K58" i="61" s="1"/>
  <c r="J23" i="66"/>
  <c r="J26" i="66" s="1"/>
  <c r="H69" i="127"/>
  <c r="O67" i="127"/>
  <c r="D21" i="127" s="1"/>
  <c r="J69" i="127"/>
  <c r="O68" i="127"/>
  <c r="D22" i="127" s="1"/>
  <c r="D69" i="127"/>
  <c r="M69" i="127"/>
  <c r="N69" i="127"/>
  <c r="L69" i="127"/>
  <c r="I40" i="127" l="1"/>
  <c r="J40" i="127" s="1"/>
  <c r="I129" i="127"/>
  <c r="F37" i="90"/>
  <c r="G36" i="127"/>
  <c r="M129" i="127"/>
  <c r="O127" i="127"/>
  <c r="L42" i="127" s="1"/>
  <c r="L129" i="127"/>
  <c r="H129" i="127"/>
  <c r="J129" i="127"/>
  <c r="N129" i="127"/>
  <c r="G95" i="117"/>
  <c r="G101" i="117" s="1"/>
  <c r="G92" i="117"/>
  <c r="I34" i="127"/>
  <c r="H36" i="127"/>
  <c r="O126" i="127"/>
  <c r="L41" i="127" s="1"/>
  <c r="H95" i="117"/>
  <c r="H101" i="117" s="1"/>
  <c r="H92" i="117"/>
  <c r="I30" i="122"/>
  <c r="E121" i="126"/>
  <c r="O125" i="127"/>
  <c r="L40" i="127" s="1"/>
  <c r="E129" i="127"/>
  <c r="O122" i="127"/>
  <c r="L35" i="127" s="1"/>
  <c r="O128" i="127"/>
  <c r="L43" i="127" s="1"/>
  <c r="G6" i="139"/>
  <c r="E7" i="139"/>
  <c r="G7" i="139" s="1"/>
  <c r="O124" i="127"/>
  <c r="L39" i="127" s="1"/>
  <c r="C129" i="127"/>
  <c r="O121" i="127"/>
  <c r="F129" i="127"/>
  <c r="L95" i="117"/>
  <c r="L101" i="117" s="1"/>
  <c r="L92" i="117"/>
  <c r="E95" i="117"/>
  <c r="Q93" i="117"/>
  <c r="E92" i="117"/>
  <c r="G44" i="127"/>
  <c r="K129" i="127"/>
  <c r="K95" i="117"/>
  <c r="K101" i="117" s="1"/>
  <c r="K92" i="117"/>
  <c r="I95" i="117"/>
  <c r="I101" i="117" s="1"/>
  <c r="I92" i="117"/>
  <c r="H44" i="127"/>
  <c r="I39" i="127"/>
  <c r="O109" i="127"/>
  <c r="D129" i="127"/>
  <c r="P95" i="117"/>
  <c r="P101" i="117" s="1"/>
  <c r="P92" i="117"/>
  <c r="M95" i="117"/>
  <c r="M101" i="117" s="1"/>
  <c r="M92" i="117"/>
  <c r="I42" i="127"/>
  <c r="J42" i="127" s="1"/>
  <c r="K7" i="146"/>
  <c r="E113" i="117"/>
  <c r="E12" i="139"/>
  <c r="I137" i="127"/>
  <c r="N143" i="127"/>
  <c r="M140" i="127"/>
  <c r="L139" i="127"/>
  <c r="F136" i="127"/>
  <c r="E143" i="127"/>
  <c r="M137" i="127"/>
  <c r="H136" i="127"/>
  <c r="G143" i="127"/>
  <c r="N142" i="127"/>
  <c r="E141" i="127"/>
  <c r="L113" i="117"/>
  <c r="F143" i="127"/>
  <c r="G141" i="127"/>
  <c r="D139" i="127"/>
  <c r="N136" i="127"/>
  <c r="K142" i="127"/>
  <c r="C136" i="127"/>
  <c r="D142" i="127"/>
  <c r="I140" i="127"/>
  <c r="G137" i="127"/>
  <c r="H143" i="127"/>
  <c r="M141" i="127"/>
  <c r="M113" i="117"/>
  <c r="H137" i="127"/>
  <c r="E137" i="127"/>
  <c r="J113" i="117"/>
  <c r="M37" i="122"/>
  <c r="M36" i="122" s="1"/>
  <c r="N139" i="127"/>
  <c r="D136" i="127"/>
  <c r="C143" i="127"/>
  <c r="D141" i="127"/>
  <c r="G113" i="117"/>
  <c r="D140" i="127"/>
  <c r="N137" i="127"/>
  <c r="M136" i="127"/>
  <c r="J136" i="127"/>
  <c r="G142" i="127"/>
  <c r="F139" i="127"/>
  <c r="L136" i="127"/>
  <c r="I142" i="127"/>
  <c r="J140" i="127"/>
  <c r="E139" i="127"/>
  <c r="M143" i="127"/>
  <c r="J143" i="127"/>
  <c r="K141" i="127"/>
  <c r="H139" i="127"/>
  <c r="D137" i="127"/>
  <c r="I113" i="117"/>
  <c r="L37" i="90"/>
  <c r="F141" i="127"/>
  <c r="J137" i="127"/>
  <c r="I136" i="127"/>
  <c r="J142" i="127"/>
  <c r="M139" i="127"/>
  <c r="H113" i="117"/>
  <c r="J141" i="127"/>
  <c r="C141" i="127"/>
  <c r="F140" i="127"/>
  <c r="L137" i="127"/>
  <c r="I143" i="127"/>
  <c r="H140" i="127"/>
  <c r="C139" i="127"/>
  <c r="K143" i="127"/>
  <c r="L141" i="127"/>
  <c r="G140" i="127"/>
  <c r="O113" i="117"/>
  <c r="J139" i="127"/>
  <c r="F137" i="127"/>
  <c r="M142" i="127"/>
  <c r="N140" i="127"/>
  <c r="I139" i="127"/>
  <c r="N113" i="117"/>
  <c r="G136" i="127"/>
  <c r="H142" i="127"/>
  <c r="K139" i="127"/>
  <c r="K137" i="127"/>
  <c r="L143" i="127"/>
  <c r="C142" i="127"/>
  <c r="K136" i="127"/>
  <c r="L142" i="127"/>
  <c r="E142" i="127"/>
  <c r="H141" i="127"/>
  <c r="C140" i="127"/>
  <c r="K113" i="117"/>
  <c r="N141" i="127"/>
  <c r="E140" i="127"/>
  <c r="C137" i="127"/>
  <c r="D143" i="127"/>
  <c r="I141" i="127"/>
  <c r="P113" i="117"/>
  <c r="L140" i="127"/>
  <c r="G139" i="127"/>
  <c r="E136" i="127"/>
  <c r="F142" i="127"/>
  <c r="K140" i="127"/>
  <c r="F113" i="117"/>
  <c r="G129" i="127"/>
  <c r="O95" i="117"/>
  <c r="O101" i="117" s="1"/>
  <c r="O92" i="117"/>
  <c r="K28" i="122"/>
  <c r="K34" i="122"/>
  <c r="K38" i="122"/>
  <c r="N95" i="117"/>
  <c r="N101" i="117" s="1"/>
  <c r="N92" i="117"/>
  <c r="F95" i="117"/>
  <c r="F92" i="117"/>
  <c r="J95" i="117"/>
  <c r="J101" i="117" s="1"/>
  <c r="J92" i="117"/>
  <c r="I20" i="133"/>
  <c r="B21" i="133" s="1"/>
  <c r="G20" i="133"/>
  <c r="U46" i="100"/>
  <c r="W46" i="100" s="1"/>
  <c r="S79" i="58" s="1"/>
  <c r="R93" i="58" s="1"/>
  <c r="S13" i="65"/>
  <c r="S16" i="65" s="1"/>
  <c r="S13" i="58" s="1"/>
  <c r="H205" i="126"/>
  <c r="O23" i="66" s="1"/>
  <c r="S26" i="65" s="1"/>
  <c r="S29" i="65" s="1"/>
  <c r="S39" i="58" s="1"/>
  <c r="M11" i="66"/>
  <c r="M14" i="66" s="1"/>
  <c r="M16" i="66" s="1"/>
  <c r="D111" i="78"/>
  <c r="D113" i="78" s="1"/>
  <c r="F100" i="78"/>
  <c r="K56" i="115"/>
  <c r="K83" i="115" s="1"/>
  <c r="H60" i="115"/>
  <c r="H56" i="70"/>
  <c r="H60" i="70" s="1"/>
  <c r="I76" i="54"/>
  <c r="I41" i="58"/>
  <c r="R32" i="114"/>
  <c r="R33" i="114" s="1"/>
  <c r="R29" i="114"/>
  <c r="H83" i="115"/>
  <c r="I25" i="54"/>
  <c r="I15" i="58"/>
  <c r="K60" i="116"/>
  <c r="K83" i="116"/>
  <c r="K87" i="116" s="1"/>
  <c r="M76" i="54"/>
  <c r="N74" i="54"/>
  <c r="K33" i="115"/>
  <c r="K29" i="70"/>
  <c r="K33" i="70" s="1"/>
  <c r="M25" i="54"/>
  <c r="N23" i="54"/>
  <c r="R11" i="114"/>
  <c r="P17" i="114"/>
  <c r="I60" i="115"/>
  <c r="S14" i="58" s="1"/>
  <c r="R18" i="54" s="1"/>
  <c r="I83" i="115"/>
  <c r="I56" i="70"/>
  <c r="I60" i="70" s="1"/>
  <c r="R15" i="54"/>
  <c r="W26" i="99"/>
  <c r="X20" i="99"/>
  <c r="E31" i="106" s="1"/>
  <c r="Q26" i="65"/>
  <c r="Q29" i="65" s="1"/>
  <c r="Q39" i="58" s="1"/>
  <c r="M26" i="66"/>
  <c r="M28" i="66" s="1"/>
  <c r="V14" i="131"/>
  <c r="S14" i="131"/>
  <c r="AA13" i="131"/>
  <c r="C22" i="127" s="1"/>
  <c r="E22" i="127" s="1"/>
  <c r="J28" i="66"/>
  <c r="K26" i="66"/>
  <c r="E44" i="127"/>
  <c r="D23" i="127"/>
  <c r="Z14" i="131"/>
  <c r="W14" i="131"/>
  <c r="X14" i="131"/>
  <c r="Y14" i="131"/>
  <c r="AA12" i="131"/>
  <c r="C21" i="127" s="1"/>
  <c r="E21" i="127" s="1"/>
  <c r="K62" i="61"/>
  <c r="L62" i="61" s="1"/>
  <c r="N38" i="58"/>
  <c r="O38" i="58" s="1"/>
  <c r="L58" i="61"/>
  <c r="AA9" i="131"/>
  <c r="C18" i="127" s="1"/>
  <c r="E18" i="127" s="1"/>
  <c r="U14" i="131"/>
  <c r="O29" i="65"/>
  <c r="N39" i="58"/>
  <c r="O39" i="58" s="1"/>
  <c r="O13" i="58"/>
  <c r="D36" i="127"/>
  <c r="E36" i="127" s="1"/>
  <c r="E34" i="127"/>
  <c r="AA11" i="131"/>
  <c r="C20" i="127" s="1"/>
  <c r="E20" i="127" s="1"/>
  <c r="AA7" i="131"/>
  <c r="C14" i="127" s="1"/>
  <c r="E14" i="127" s="1"/>
  <c r="T14" i="131"/>
  <c r="O69" i="127"/>
  <c r="D13" i="127"/>
  <c r="E28" i="122"/>
  <c r="E30" i="122" s="1"/>
  <c r="E38" i="122"/>
  <c r="E34" i="122"/>
  <c r="R14" i="131"/>
  <c r="O14" i="131"/>
  <c r="AA6" i="131"/>
  <c r="P14" i="131"/>
  <c r="Q14" i="131"/>
  <c r="AA10" i="131"/>
  <c r="C19" i="127" s="1"/>
  <c r="E19" i="127" s="1"/>
  <c r="H57" i="130"/>
  <c r="D36" i="122"/>
  <c r="G144" i="127" l="1"/>
  <c r="G46" i="127"/>
  <c r="O137" i="127"/>
  <c r="N35" i="127" s="1"/>
  <c r="N144" i="127"/>
  <c r="H144" i="127"/>
  <c r="O103" i="117"/>
  <c r="O104" i="117" s="1"/>
  <c r="O142" i="127"/>
  <c r="N42" i="127" s="1"/>
  <c r="O115" i="117"/>
  <c r="O121" i="117" s="1"/>
  <c r="O112" i="117"/>
  <c r="O143" i="127"/>
  <c r="N43" i="127" s="1"/>
  <c r="E112" i="117"/>
  <c r="E115" i="117"/>
  <c r="Q113" i="117"/>
  <c r="I103" i="117"/>
  <c r="I104" i="117" s="1"/>
  <c r="G103" i="117"/>
  <c r="G104" i="117" s="1"/>
  <c r="F101" i="117"/>
  <c r="F103" i="117" s="1"/>
  <c r="F104" i="117"/>
  <c r="E144" i="127"/>
  <c r="O141" i="127"/>
  <c r="N41" i="127" s="1"/>
  <c r="D144" i="127"/>
  <c r="C144" i="127"/>
  <c r="O136" i="127"/>
  <c r="J39" i="127"/>
  <c r="I44" i="127"/>
  <c r="Q92" i="117"/>
  <c r="L103" i="117"/>
  <c r="L104" i="117" s="1"/>
  <c r="L44" i="127"/>
  <c r="J103" i="117"/>
  <c r="J104" i="117" s="1"/>
  <c r="N103" i="117"/>
  <c r="N104" i="117" s="1"/>
  <c r="O140" i="127"/>
  <c r="N40" i="127" s="1"/>
  <c r="K144" i="127"/>
  <c r="H112" i="117"/>
  <c r="H115" i="117"/>
  <c r="H121" i="117" s="1"/>
  <c r="L144" i="127"/>
  <c r="M144" i="127"/>
  <c r="M28" i="122"/>
  <c r="M34" i="122"/>
  <c r="M38" i="122"/>
  <c r="M115" i="117"/>
  <c r="M121" i="117" s="1"/>
  <c r="M112" i="117"/>
  <c r="L112" i="117"/>
  <c r="L115" i="117"/>
  <c r="L121" i="117" s="1"/>
  <c r="E13" i="139"/>
  <c r="G13" i="139" s="1"/>
  <c r="G12" i="139"/>
  <c r="E101" i="117"/>
  <c r="Q95" i="117"/>
  <c r="Q94" i="117" s="1"/>
  <c r="I129" i="82" s="1"/>
  <c r="O129" i="127"/>
  <c r="L34" i="127"/>
  <c r="L36" i="127" s="1"/>
  <c r="H103" i="117"/>
  <c r="H104" i="117" s="1"/>
  <c r="P115" i="117"/>
  <c r="P121" i="117" s="1"/>
  <c r="P112" i="117"/>
  <c r="O139" i="127"/>
  <c r="N39" i="127" s="1"/>
  <c r="J115" i="117"/>
  <c r="J121" i="117" s="1"/>
  <c r="J112" i="117"/>
  <c r="M103" i="117"/>
  <c r="M104" i="117" s="1"/>
  <c r="E129" i="126"/>
  <c r="E131" i="126" s="1"/>
  <c r="E124" i="126"/>
  <c r="E126" i="126" s="1"/>
  <c r="K30" i="122"/>
  <c r="F121" i="126"/>
  <c r="F112" i="117"/>
  <c r="F115" i="117"/>
  <c r="F121" i="117" s="1"/>
  <c r="K115" i="117"/>
  <c r="K121" i="117" s="1"/>
  <c r="K112" i="117"/>
  <c r="N112" i="117"/>
  <c r="N115" i="117"/>
  <c r="N121" i="117" s="1"/>
  <c r="I144" i="127"/>
  <c r="I112" i="117"/>
  <c r="I115" i="117"/>
  <c r="I121" i="117" s="1"/>
  <c r="J144" i="127"/>
  <c r="G115" i="117"/>
  <c r="G121" i="117" s="1"/>
  <c r="G112" i="117"/>
  <c r="F144" i="127"/>
  <c r="P103" i="117"/>
  <c r="P104" i="117" s="1"/>
  <c r="H46" i="127"/>
  <c r="K103" i="117"/>
  <c r="K104" i="117" s="1"/>
  <c r="J34" i="127"/>
  <c r="I36" i="127"/>
  <c r="J36" i="127" s="1"/>
  <c r="I22" i="133"/>
  <c r="B23" i="133" s="1"/>
  <c r="G21" i="133"/>
  <c r="G22" i="133"/>
  <c r="R19" i="54"/>
  <c r="R21" i="54" s="1"/>
  <c r="R23" i="54" s="1"/>
  <c r="R25" i="54" s="1"/>
  <c r="S15" i="58" s="1"/>
  <c r="P60" i="61"/>
  <c r="P58" i="61"/>
  <c r="O26" i="66"/>
  <c r="O28" i="66" s="1"/>
  <c r="Q13" i="65"/>
  <c r="Q16" i="65" s="1"/>
  <c r="N58" i="61" s="1"/>
  <c r="D118" i="78"/>
  <c r="N15" i="58"/>
  <c r="O15" i="58" s="1"/>
  <c r="N25" i="54"/>
  <c r="J15" i="58"/>
  <c r="E74" i="78"/>
  <c r="F74" i="78" s="1"/>
  <c r="R13" i="114"/>
  <c r="R16" i="114"/>
  <c r="R17" i="114" s="1"/>
  <c r="N41" i="58"/>
  <c r="O41" i="58" s="1"/>
  <c r="N76" i="54"/>
  <c r="I87" i="115"/>
  <c r="I83" i="70"/>
  <c r="I87" i="70" s="1"/>
  <c r="K87" i="115"/>
  <c r="K83" i="70"/>
  <c r="K87" i="70" s="1"/>
  <c r="H87" i="115"/>
  <c r="H83" i="70"/>
  <c r="H87" i="70" s="1"/>
  <c r="J41" i="58"/>
  <c r="E103" i="78"/>
  <c r="F103" i="78" s="1"/>
  <c r="K60" i="115"/>
  <c r="K56" i="70"/>
  <c r="K60" i="70" s="1"/>
  <c r="K63" i="61"/>
  <c r="X26" i="99"/>
  <c r="W46" i="99"/>
  <c r="X46" i="100"/>
  <c r="K11" i="146"/>
  <c r="D46" i="127"/>
  <c r="E46" i="127" s="1"/>
  <c r="D28" i="122"/>
  <c r="D30" i="122" s="1"/>
  <c r="D34" i="122"/>
  <c r="C13" i="127"/>
  <c r="C15" i="127" s="1"/>
  <c r="AA14" i="131"/>
  <c r="C23" i="127"/>
  <c r="E23" i="127" s="1"/>
  <c r="D15" i="127"/>
  <c r="E15" i="127" l="1"/>
  <c r="N44" i="127"/>
  <c r="L46" i="127"/>
  <c r="F129" i="126"/>
  <c r="F131" i="126" s="1"/>
  <c r="Q135" i="82" s="1"/>
  <c r="F124" i="126"/>
  <c r="F126" i="126" s="1"/>
  <c r="Q136" i="82" s="1"/>
  <c r="J123" i="117"/>
  <c r="J124" i="117" s="1"/>
  <c r="M123" i="117"/>
  <c r="M124" i="117" s="1"/>
  <c r="O144" i="127"/>
  <c r="N34" i="127"/>
  <c r="N36" i="127" s="1"/>
  <c r="E121" i="117"/>
  <c r="Q115" i="117"/>
  <c r="Q114" i="117" s="1"/>
  <c r="I161" i="82" s="1"/>
  <c r="O123" i="117"/>
  <c r="O124" i="117" s="1"/>
  <c r="G123" i="117"/>
  <c r="G124" i="117" s="1"/>
  <c r="K123" i="117"/>
  <c r="K124" i="117" s="1"/>
  <c r="N46" i="127"/>
  <c r="J129" i="82"/>
  <c r="I130" i="82"/>
  <c r="J130" i="82" s="1"/>
  <c r="I132" i="82"/>
  <c r="L123" i="117"/>
  <c r="L124" i="117" s="1"/>
  <c r="Q112" i="117"/>
  <c r="N123" i="117"/>
  <c r="N124" i="117" s="1"/>
  <c r="F123" i="117"/>
  <c r="F124" i="117" s="1"/>
  <c r="E103" i="117"/>
  <c r="Q101" i="117"/>
  <c r="H123" i="117"/>
  <c r="H124" i="117" s="1"/>
  <c r="J44" i="127"/>
  <c r="I46" i="127"/>
  <c r="J46" i="127" s="1"/>
  <c r="I123" i="117"/>
  <c r="I124" i="117" s="1"/>
  <c r="P123" i="117"/>
  <c r="P124" i="117" s="1"/>
  <c r="G121" i="126"/>
  <c r="M30" i="122"/>
  <c r="I23" i="133"/>
  <c r="B24" i="133" s="1"/>
  <c r="G23" i="133"/>
  <c r="Q13" i="58"/>
  <c r="L63" i="61"/>
  <c r="K67" i="61"/>
  <c r="L67" i="61" s="1"/>
  <c r="Q79" i="58"/>
  <c r="X46" i="99"/>
  <c r="N60" i="61"/>
  <c r="E13" i="127"/>
  <c r="C25" i="127"/>
  <c r="D25" i="127"/>
  <c r="G129" i="126" l="1"/>
  <c r="G131" i="126" s="1"/>
  <c r="Q167" i="82" s="1"/>
  <c r="G124" i="126"/>
  <c r="G126" i="126" s="1"/>
  <c r="Q168" i="82" s="1"/>
  <c r="J161" i="82"/>
  <c r="I162" i="82"/>
  <c r="J162" i="82" s="1"/>
  <c r="I164" i="82"/>
  <c r="J11" i="146"/>
  <c r="P93" i="58"/>
  <c r="G133" i="82"/>
  <c r="K25" i="122"/>
  <c r="K26" i="122" s="1"/>
  <c r="J8" i="146" s="1"/>
  <c r="E123" i="117"/>
  <c r="Q121" i="117"/>
  <c r="Q103" i="117"/>
  <c r="E104" i="117"/>
  <c r="Q104" i="117" s="1"/>
  <c r="J132" i="82"/>
  <c r="Q132" i="82" s="1"/>
  <c r="I133" i="82"/>
  <c r="I24" i="133"/>
  <c r="B25" i="133" s="1"/>
  <c r="G24" i="133"/>
  <c r="K68" i="61"/>
  <c r="K69" i="61" s="1"/>
  <c r="L69" i="61" s="1"/>
  <c r="F18" i="92"/>
  <c r="F22" i="92" s="1"/>
  <c r="E13" i="65" s="1"/>
  <c r="E16" i="65" s="1"/>
  <c r="E25" i="127"/>
  <c r="Q133" i="82" l="1"/>
  <c r="J133" i="82"/>
  <c r="J137" i="82" s="1"/>
  <c r="G137" i="82"/>
  <c r="G165" i="82"/>
  <c r="M25" i="122"/>
  <c r="M26" i="122" s="1"/>
  <c r="K8" i="146" s="1"/>
  <c r="Q123" i="117"/>
  <c r="E124" i="117"/>
  <c r="Q124" i="117" s="1"/>
  <c r="J164" i="82"/>
  <c r="Q164" i="82" s="1"/>
  <c r="I165" i="82"/>
  <c r="I25" i="133"/>
  <c r="B26" i="133" s="1"/>
  <c r="G25" i="133"/>
  <c r="N42" i="58"/>
  <c r="O42" i="58" s="1"/>
  <c r="O49" i="58" s="1"/>
  <c r="O51" i="58" s="1"/>
  <c r="O56" i="58" s="1"/>
  <c r="L68" i="61"/>
  <c r="N16" i="58"/>
  <c r="N21" i="58" s="1"/>
  <c r="N23" i="58" s="1"/>
  <c r="N26" i="58" s="1"/>
  <c r="E12" i="61"/>
  <c r="E13" i="58"/>
  <c r="G16" i="65"/>
  <c r="G169" i="82" l="1"/>
  <c r="J165" i="82"/>
  <c r="J169" i="82" s="1"/>
  <c r="Q165" i="82"/>
  <c r="R165" i="82" s="1"/>
  <c r="Q137" i="82"/>
  <c r="R133" i="82"/>
  <c r="G26" i="133"/>
  <c r="I26" i="133"/>
  <c r="B27" i="133" s="1"/>
  <c r="O16" i="58"/>
  <c r="O21" i="58" s="1"/>
  <c r="O23" i="58" s="1"/>
  <c r="O26" i="58" s="1"/>
  <c r="N49" i="58"/>
  <c r="N51" i="58" s="1"/>
  <c r="N56" i="58" s="1"/>
  <c r="N71" i="58" s="1"/>
  <c r="D11" i="78"/>
  <c r="E21" i="58"/>
  <c r="E23" i="58" s="1"/>
  <c r="E26" i="58" s="1"/>
  <c r="E70" i="58" s="1"/>
  <c r="G13" i="58"/>
  <c r="N70" i="58"/>
  <c r="E17" i="61"/>
  <c r="G17" i="61" s="1"/>
  <c r="G12" i="61"/>
  <c r="Q38" i="58" l="1"/>
  <c r="N62" i="61"/>
  <c r="N63" i="61" s="1"/>
  <c r="N67" i="61" s="1"/>
  <c r="R137" i="82"/>
  <c r="Q169" i="82"/>
  <c r="G27" i="133"/>
  <c r="I27" i="133"/>
  <c r="B28" i="133" s="1"/>
  <c r="D19" i="78"/>
  <c r="D21" i="78" s="1"/>
  <c r="F11" i="78"/>
  <c r="E238" i="126"/>
  <c r="E240" i="126" s="1"/>
  <c r="E242" i="126" s="1"/>
  <c r="E72" i="58"/>
  <c r="N72" i="58"/>
  <c r="S38" i="58" l="1"/>
  <c r="P62" i="61"/>
  <c r="P63" i="61" s="1"/>
  <c r="P67" i="61" s="1"/>
  <c r="R169" i="82"/>
  <c r="J9" i="146"/>
  <c r="D6" i="139"/>
  <c r="N68" i="61"/>
  <c r="Q16" i="58" s="1"/>
  <c r="Q21" i="58" s="1"/>
  <c r="Q23" i="58" s="1"/>
  <c r="Q26" i="58" s="1"/>
  <c r="I28" i="133"/>
  <c r="B29" i="133" s="1"/>
  <c r="G28" i="133"/>
  <c r="D24" i="78"/>
  <c r="E78" i="58"/>
  <c r="Q70" i="58" l="1"/>
  <c r="N69" i="61"/>
  <c r="Q42" i="58" s="1"/>
  <c r="Q49" i="58" s="1"/>
  <c r="Q51" i="58" s="1"/>
  <c r="Q56" i="58" s="1"/>
  <c r="D12" i="139"/>
  <c r="K9" i="146"/>
  <c r="P68" i="61"/>
  <c r="S16" i="58" s="1"/>
  <c r="S21" i="58" s="1"/>
  <c r="S23" i="58" s="1"/>
  <c r="S26" i="58" s="1"/>
  <c r="D7" i="139"/>
  <c r="H7" i="139" s="1"/>
  <c r="H6" i="139"/>
  <c r="I29" i="133"/>
  <c r="B30" i="133" s="1"/>
  <c r="G29" i="133"/>
  <c r="D29" i="78"/>
  <c r="D61" i="78"/>
  <c r="C4" i="140"/>
  <c r="C6" i="140" s="1"/>
  <c r="E80" i="58"/>
  <c r="P69" i="61" l="1"/>
  <c r="S42" i="58" s="1"/>
  <c r="S49" i="58" s="1"/>
  <c r="S51" i="58" s="1"/>
  <c r="S56" i="58" s="1"/>
  <c r="G238" i="126" s="1"/>
  <c r="G240" i="126" s="1"/>
  <c r="H12" i="139"/>
  <c r="D13" i="139"/>
  <c r="H13" i="139" s="1"/>
  <c r="S71" i="58"/>
  <c r="Q71" i="58"/>
  <c r="Q72" i="58" s="1"/>
  <c r="D10" i="140" s="1"/>
  <c r="F238" i="126"/>
  <c r="F240" i="126" s="1"/>
  <c r="S29" i="58"/>
  <c r="S70" i="58"/>
  <c r="I30" i="133"/>
  <c r="B31" i="133" s="1"/>
  <c r="G30" i="133"/>
  <c r="P29" i="58"/>
  <c r="P82" i="58" s="1"/>
  <c r="R27" i="58"/>
  <c r="K73" i="58"/>
  <c r="K78" i="58" s="1"/>
  <c r="R73" i="58"/>
  <c r="P73" i="58"/>
  <c r="H73" i="58"/>
  <c r="H78" i="58" s="1"/>
  <c r="S72" i="58" l="1"/>
  <c r="F10" i="140" s="1"/>
  <c r="S82" i="58"/>
  <c r="S87" i="58" s="1"/>
  <c r="G244" i="126"/>
  <c r="G242" i="126"/>
  <c r="F242" i="126"/>
  <c r="F244" i="126"/>
  <c r="B32" i="133"/>
  <c r="I31" i="133"/>
  <c r="B34" i="133" s="1"/>
  <c r="G31" i="133"/>
  <c r="K29" i="58"/>
  <c r="K82" i="58" s="1"/>
  <c r="P87" i="58"/>
  <c r="C19" i="140" s="1"/>
  <c r="R29" i="58"/>
  <c r="R82" i="58" s="1"/>
  <c r="R57" i="58"/>
  <c r="R59" i="58" s="1"/>
  <c r="R83" i="58" s="1"/>
  <c r="R88" i="58" s="1"/>
  <c r="E20" i="140" s="1"/>
  <c r="D86" i="78"/>
  <c r="H29" i="58"/>
  <c r="H82" i="58" s="1"/>
  <c r="H87" i="58" s="1"/>
  <c r="P57" i="58"/>
  <c r="P59" i="58" s="1"/>
  <c r="P83" i="58" s="1"/>
  <c r="P88" i="58" s="1"/>
  <c r="C20" i="140" s="1"/>
  <c r="E11" i="140"/>
  <c r="E14" i="140" s="1"/>
  <c r="R78" i="58"/>
  <c r="R80" i="58" s="1"/>
  <c r="C11" i="140"/>
  <c r="C14" i="140" s="1"/>
  <c r="P78" i="58"/>
  <c r="P80" i="58" s="1"/>
  <c r="G4" i="140"/>
  <c r="G6" i="140" s="1"/>
  <c r="K80" i="58"/>
  <c r="E4" i="140"/>
  <c r="E6" i="140" s="1"/>
  <c r="H80" i="58"/>
  <c r="K14" i="146" l="1"/>
  <c r="F19" i="140"/>
  <c r="F14" i="137"/>
  <c r="R84" i="58"/>
  <c r="R89" i="58" s="1"/>
  <c r="E21" i="140" s="1"/>
  <c r="G34" i="133"/>
  <c r="I34" i="133"/>
  <c r="B35" i="133" s="1"/>
  <c r="G32" i="133"/>
  <c r="N8" i="133" s="1"/>
  <c r="I32" i="133"/>
  <c r="B33" i="133" s="1"/>
  <c r="I33" i="133" s="1"/>
  <c r="D119" i="78"/>
  <c r="H59" i="58"/>
  <c r="H83" i="58" s="1"/>
  <c r="O27" i="58"/>
  <c r="N29" i="58"/>
  <c r="N82" i="58" s="1"/>
  <c r="D87" i="78"/>
  <c r="P84" i="58"/>
  <c r="P89" i="58" s="1"/>
  <c r="C21" i="140" s="1"/>
  <c r="R87" i="58"/>
  <c r="E19" i="140" s="1"/>
  <c r="K87" i="58"/>
  <c r="J27" i="58"/>
  <c r="E86" i="78"/>
  <c r="K59" i="58"/>
  <c r="K83" i="58" s="1"/>
  <c r="K88" i="58" s="1"/>
  <c r="N24" i="146" l="1"/>
  <c r="F20" i="137"/>
  <c r="I12" i="139"/>
  <c r="U7" i="138"/>
  <c r="O14" i="137"/>
  <c r="N28" i="133"/>
  <c r="E42" i="54" s="1"/>
  <c r="N9" i="133"/>
  <c r="G36" i="133"/>
  <c r="G35" i="133"/>
  <c r="I36" i="133"/>
  <c r="B37" i="133" s="1"/>
  <c r="G33" i="133"/>
  <c r="N87" i="58"/>
  <c r="K84" i="58"/>
  <c r="K89" i="58" s="1"/>
  <c r="F86" i="78"/>
  <c r="I73" i="58"/>
  <c r="J57" i="58"/>
  <c r="E119" i="78"/>
  <c r="O57" i="58"/>
  <c r="N73" i="58"/>
  <c r="H102" i="58" s="1"/>
  <c r="N59" i="58"/>
  <c r="N83" i="58" s="1"/>
  <c r="N88" i="58" s="1"/>
  <c r="D92" i="78"/>
  <c r="H88" i="58"/>
  <c r="H84" i="58"/>
  <c r="H89" i="58" s="1"/>
  <c r="O29" i="58"/>
  <c r="D120" i="78"/>
  <c r="E45" i="140" l="1"/>
  <c r="Q22" i="138"/>
  <c r="F34" i="138" s="1"/>
  <c r="N25" i="146"/>
  <c r="O20" i="137"/>
  <c r="U20" i="137" s="1"/>
  <c r="W20" i="137" s="1"/>
  <c r="X20" i="137" s="1"/>
  <c r="U8" i="138"/>
  <c r="Q23" i="138" s="1"/>
  <c r="F35" i="138" s="1"/>
  <c r="F29" i="137"/>
  <c r="I13" i="139"/>
  <c r="U14" i="137"/>
  <c r="N34" i="133"/>
  <c r="E92" i="54" s="1"/>
  <c r="G37" i="133"/>
  <c r="I37" i="133"/>
  <c r="B38" i="133" s="1"/>
  <c r="N84" i="58"/>
  <c r="N89" i="58" s="1"/>
  <c r="F119" i="78"/>
  <c r="J73" i="58"/>
  <c r="G102" i="58"/>
  <c r="N78" i="58"/>
  <c r="D123" i="78"/>
  <c r="O59" i="58"/>
  <c r="W14" i="137" l="1"/>
  <c r="X14" i="137" s="1"/>
  <c r="U26" i="137"/>
  <c r="W26" i="137" s="1"/>
  <c r="X26" i="137" s="1"/>
  <c r="C13" i="139"/>
  <c r="K13" i="139" s="1"/>
  <c r="G48" i="106"/>
  <c r="L48" i="106" s="1"/>
  <c r="N28" i="146"/>
  <c r="U10" i="138"/>
  <c r="Q25" i="138" s="1"/>
  <c r="F36" i="138" s="1"/>
  <c r="F30" i="137"/>
  <c r="O29" i="137"/>
  <c r="U29" i="137" s="1"/>
  <c r="W29" i="137" s="1"/>
  <c r="O26" i="137"/>
  <c r="E49" i="140"/>
  <c r="F45" i="140"/>
  <c r="G38" i="133"/>
  <c r="I38" i="133"/>
  <c r="B39" i="133" s="1"/>
  <c r="N80" i="58"/>
  <c r="I10" i="146"/>
  <c r="I12" i="146" s="1"/>
  <c r="Q77" i="58"/>
  <c r="S77" i="58" s="1"/>
  <c r="H4" i="140"/>
  <c r="H6" i="140" s="1"/>
  <c r="D125" i="78"/>
  <c r="F123" i="78"/>
  <c r="N29" i="146" l="1"/>
  <c r="O30" i="137"/>
  <c r="U30" i="137" s="1"/>
  <c r="W30" i="137" s="1"/>
  <c r="X30" i="137" s="1"/>
  <c r="G52" i="106" s="1"/>
  <c r="L52" i="106" s="1"/>
  <c r="U11" i="138"/>
  <c r="Q26" i="138" s="1"/>
  <c r="F37" i="138" s="1"/>
  <c r="F31" i="137"/>
  <c r="C12" i="139"/>
  <c r="K12" i="139" s="1"/>
  <c r="F46" i="140" s="1"/>
  <c r="F48" i="140" s="1"/>
  <c r="F49" i="140" s="1"/>
  <c r="G47" i="106"/>
  <c r="L47" i="106" s="1"/>
  <c r="G39" i="133"/>
  <c r="I39" i="133"/>
  <c r="B40" i="133" s="1"/>
  <c r="D13" i="140"/>
  <c r="N30" i="146" l="1"/>
  <c r="U12" i="138"/>
  <c r="Q27" i="138" s="1"/>
  <c r="F38" i="138" s="1"/>
  <c r="O31" i="137"/>
  <c r="U31" i="137" s="1"/>
  <c r="W31" i="137" s="1"/>
  <c r="X31" i="137" s="1"/>
  <c r="G53" i="106" s="1"/>
  <c r="L53" i="106" s="1"/>
  <c r="F37" i="137"/>
  <c r="G40" i="133"/>
  <c r="O8" i="133" s="1"/>
  <c r="I40" i="133"/>
  <c r="B41" i="133" s="1"/>
  <c r="N31" i="146" l="1"/>
  <c r="U13" i="138"/>
  <c r="Q28" i="138" s="1"/>
  <c r="F39" i="138" s="1"/>
  <c r="O37" i="137"/>
  <c r="U37" i="137" s="1"/>
  <c r="F38" i="137"/>
  <c r="O28" i="133"/>
  <c r="F42" i="54" s="1"/>
  <c r="O9" i="133"/>
  <c r="I41" i="133"/>
  <c r="B42" i="133" s="1"/>
  <c r="G41" i="133"/>
  <c r="F13" i="140"/>
  <c r="F14" i="140" s="1"/>
  <c r="S78" i="58"/>
  <c r="S80" i="58" s="1"/>
  <c r="S57" i="58"/>
  <c r="S59" i="58" s="1"/>
  <c r="S83" i="58" s="1"/>
  <c r="N32" i="146" l="1"/>
  <c r="U14" i="138"/>
  <c r="Q29" i="138" s="1"/>
  <c r="F40" i="138" s="1"/>
  <c r="O38" i="137"/>
  <c r="W37" i="137"/>
  <c r="X37" i="137" s="1"/>
  <c r="G54" i="106" s="1"/>
  <c r="L54" i="106" s="1"/>
  <c r="O34" i="133"/>
  <c r="F92" i="54" s="1"/>
  <c r="I42" i="133"/>
  <c r="B43" i="133" s="1"/>
  <c r="G42" i="133"/>
  <c r="K10" i="146"/>
  <c r="K12" i="146" s="1"/>
  <c r="S84" i="58"/>
  <c r="S88" i="58"/>
  <c r="K13" i="146" l="1"/>
  <c r="S91" i="58"/>
  <c r="U38" i="137"/>
  <c r="O44" i="137"/>
  <c r="O46" i="137" s="1"/>
  <c r="I43" i="133"/>
  <c r="B44" i="133" s="1"/>
  <c r="G43" i="133"/>
  <c r="F20" i="140"/>
  <c r="K15" i="146"/>
  <c r="W48" i="137"/>
  <c r="S89" i="58"/>
  <c r="S94" i="58" s="1"/>
  <c r="W38" i="137" l="1"/>
  <c r="X38" i="137" s="1"/>
  <c r="G55" i="106" s="1"/>
  <c r="L55" i="106" s="1"/>
  <c r="U44" i="137"/>
  <c r="I44" i="133"/>
  <c r="B45" i="133" s="1"/>
  <c r="G44" i="133"/>
  <c r="S97" i="58"/>
  <c r="K16" i="146"/>
  <c r="X48" i="100"/>
  <c r="F21" i="140"/>
  <c r="X48" i="137"/>
  <c r="W44" i="137" l="1"/>
  <c r="X44" i="137" s="1"/>
  <c r="U46" i="137"/>
  <c r="W46" i="137" s="1"/>
  <c r="X46" i="137" s="1"/>
  <c r="Y46" i="137" s="1"/>
  <c r="I45" i="133"/>
  <c r="B46" i="133" s="1"/>
  <c r="G45" i="133"/>
  <c r="Y14" i="137"/>
  <c r="Y38" i="137"/>
  <c r="D46" i="106"/>
  <c r="Y30" i="137"/>
  <c r="Y26" i="137"/>
  <c r="Y20" i="137"/>
  <c r="Y31" i="137"/>
  <c r="Y37" i="137"/>
  <c r="Y44" i="137"/>
  <c r="Y38" i="100"/>
  <c r="Y44" i="100"/>
  <c r="Y26" i="100"/>
  <c r="Y46" i="100"/>
  <c r="Y37" i="100"/>
  <c r="Y29" i="100"/>
  <c r="Y31" i="100"/>
  <c r="Y30" i="100"/>
  <c r="Y14" i="100"/>
  <c r="Y20" i="100"/>
  <c r="I46" i="133" l="1"/>
  <c r="B49" i="133" s="1"/>
  <c r="G46" i="133"/>
  <c r="B47" i="133"/>
  <c r="J54" i="106"/>
  <c r="H21" i="106" s="1"/>
  <c r="J48" i="106"/>
  <c r="H53" i="106"/>
  <c r="J52" i="106"/>
  <c r="H51" i="106"/>
  <c r="H48" i="106"/>
  <c r="J47" i="106"/>
  <c r="H54" i="106"/>
  <c r="H55" i="106"/>
  <c r="J53" i="106"/>
  <c r="J55" i="106"/>
  <c r="H52" i="106"/>
  <c r="J51" i="106"/>
  <c r="H47" i="106"/>
  <c r="I47" i="133" l="1"/>
  <c r="B48" i="133" s="1"/>
  <c r="I48" i="133" s="1"/>
  <c r="G47" i="133"/>
  <c r="P8" i="133" s="1"/>
  <c r="G48" i="133"/>
  <c r="I49" i="133"/>
  <c r="B50" i="133" s="1"/>
  <c r="G49" i="133"/>
  <c r="H18" i="106"/>
  <c r="K51" i="106"/>
  <c r="K54" i="106"/>
  <c r="H19" i="106"/>
  <c r="K52" i="106"/>
  <c r="K55" i="106"/>
  <c r="H22" i="106"/>
  <c r="H14" i="106"/>
  <c r="K47" i="106"/>
  <c r="K53" i="106"/>
  <c r="H20" i="106"/>
  <c r="H15" i="106"/>
  <c r="K48" i="106"/>
  <c r="I50" i="133" l="1"/>
  <c r="B51" i="133" s="1"/>
  <c r="G50" i="133"/>
  <c r="P28" i="133"/>
  <c r="G42" i="54" s="1"/>
  <c r="P9" i="133"/>
  <c r="Q8" i="133"/>
  <c r="P34" i="133" l="1"/>
  <c r="G92" i="54" s="1"/>
  <c r="Q9" i="133"/>
  <c r="Q28" i="133"/>
  <c r="H42" i="54" s="1"/>
  <c r="I51" i="133"/>
  <c r="B52" i="133" s="1"/>
  <c r="G51" i="133"/>
  <c r="Q34" i="133" l="1"/>
  <c r="H92" i="54" s="1"/>
  <c r="I52" i="133"/>
  <c r="B53" i="133" s="1"/>
  <c r="G52" i="133"/>
  <c r="I53" i="133" l="1"/>
  <c r="B54" i="133" s="1"/>
  <c r="G53" i="133"/>
  <c r="I54" i="133" l="1"/>
  <c r="B55" i="133" s="1"/>
  <c r="G54" i="133"/>
  <c r="I55" i="133" l="1"/>
  <c r="B56" i="133" s="1"/>
  <c r="G55" i="133"/>
  <c r="I56" i="133" l="1"/>
  <c r="B57" i="133" s="1"/>
  <c r="G56" i="133"/>
  <c r="I57" i="133" l="1"/>
  <c r="B58" i="133" s="1"/>
  <c r="G57" i="133"/>
  <c r="I58" i="133" l="1"/>
  <c r="B59" i="133" s="1"/>
  <c r="G58" i="133"/>
  <c r="I59" i="133" l="1"/>
  <c r="B60" i="133" s="1"/>
  <c r="G59" i="133"/>
  <c r="B61" i="133" l="1"/>
  <c r="I60" i="133"/>
  <c r="B63" i="133" s="1"/>
  <c r="G60" i="133"/>
  <c r="G63" i="133" l="1"/>
  <c r="I63" i="133"/>
  <c r="B64" i="133" s="1"/>
  <c r="G61" i="133"/>
  <c r="R8" i="133" s="1"/>
  <c r="I61" i="133"/>
  <c r="B62" i="133" s="1"/>
  <c r="I62" i="133" s="1"/>
  <c r="R28" i="133" l="1"/>
  <c r="I42" i="54" s="1"/>
  <c r="R34" i="133"/>
  <c r="I92" i="54" s="1"/>
  <c r="R9" i="133"/>
  <c r="G62" i="133"/>
  <c r="G64" i="133"/>
  <c r="I64" i="133"/>
  <c r="B65" i="133" s="1"/>
  <c r="G65" i="133" l="1"/>
  <c r="I65" i="133"/>
  <c r="B66" i="133" s="1"/>
  <c r="G66" i="133" l="1"/>
  <c r="I66" i="133"/>
  <c r="B67" i="133" s="1"/>
  <c r="G67" i="133" l="1"/>
  <c r="I67" i="133"/>
  <c r="B68" i="133" s="1"/>
  <c r="G68" i="133" l="1"/>
  <c r="I68" i="133"/>
  <c r="B69" i="133" s="1"/>
  <c r="G69" i="133" l="1"/>
  <c r="I69" i="133"/>
  <c r="B70" i="133" s="1"/>
  <c r="G70" i="133" l="1"/>
  <c r="I70" i="133"/>
  <c r="B71" i="133" s="1"/>
  <c r="G71" i="133" l="1"/>
  <c r="I71" i="133"/>
  <c r="B72" i="133" s="1"/>
  <c r="G72" i="133" l="1"/>
  <c r="I72" i="133"/>
  <c r="B73" i="133" s="1"/>
  <c r="G73" i="133" l="1"/>
  <c r="I73" i="133"/>
  <c r="B74" i="133" s="1"/>
  <c r="G74" i="133" l="1"/>
  <c r="B75" i="133"/>
  <c r="I74" i="133"/>
  <c r="B77" i="133" s="1"/>
  <c r="G77" i="133" l="1"/>
  <c r="I77" i="133"/>
  <c r="B78" i="133" s="1"/>
  <c r="G75" i="133"/>
  <c r="S8" i="133" s="1"/>
  <c r="I75" i="133"/>
  <c r="B76" i="133" s="1"/>
  <c r="I76" i="133" s="1"/>
  <c r="G78" i="133" l="1"/>
  <c r="I78" i="133"/>
  <c r="B79" i="133" s="1"/>
  <c r="S28" i="133"/>
  <c r="J42" i="54" s="1"/>
  <c r="S34" i="133"/>
  <c r="J92" i="54" s="1"/>
  <c r="S9" i="133"/>
  <c r="G76" i="133"/>
  <c r="I79" i="133" l="1"/>
  <c r="B80" i="133" s="1"/>
  <c r="G79" i="133"/>
  <c r="I80" i="133" l="1"/>
  <c r="B81" i="133" s="1"/>
  <c r="G80" i="133"/>
  <c r="I81" i="133" l="1"/>
  <c r="B82" i="133" s="1"/>
  <c r="G81" i="133"/>
  <c r="I82" i="133" l="1"/>
  <c r="B83" i="133" s="1"/>
  <c r="G82" i="133"/>
  <c r="I83" i="133" l="1"/>
  <c r="B84" i="133" s="1"/>
  <c r="G83" i="133"/>
  <c r="I84" i="133" l="1"/>
  <c r="B85" i="133" s="1"/>
  <c r="G84" i="133"/>
  <c r="I85" i="133" l="1"/>
  <c r="B86" i="133" s="1"/>
  <c r="G85" i="133"/>
  <c r="I86" i="133" l="1"/>
  <c r="B87" i="133" s="1"/>
  <c r="G86" i="133"/>
  <c r="I87" i="133" l="1"/>
  <c r="B88" i="133" s="1"/>
  <c r="G87" i="133"/>
  <c r="I88" i="133" l="1"/>
  <c r="B91" i="133" s="1"/>
  <c r="G88" i="133"/>
  <c r="B89" i="133"/>
  <c r="I89" i="133" l="1"/>
  <c r="B90" i="133" s="1"/>
  <c r="I90" i="133" s="1"/>
  <c r="G89" i="133"/>
  <c r="G90" i="133" s="1"/>
  <c r="I91" i="133"/>
  <c r="B92" i="133" s="1"/>
  <c r="G91" i="133"/>
  <c r="I92" i="133" l="1"/>
  <c r="B93" i="133" s="1"/>
  <c r="G92" i="133"/>
  <c r="I93" i="133" l="1"/>
  <c r="B94" i="133" s="1"/>
  <c r="G93" i="133"/>
  <c r="I94" i="133" l="1"/>
  <c r="B95" i="133" s="1"/>
  <c r="G94" i="133"/>
  <c r="I95" i="133" l="1"/>
  <c r="B96" i="133" s="1"/>
  <c r="G95" i="133"/>
  <c r="I96" i="133" l="1"/>
  <c r="B97" i="133" s="1"/>
  <c r="G96" i="133"/>
  <c r="I97" i="133" l="1"/>
  <c r="B98" i="133" s="1"/>
  <c r="G97" i="133"/>
  <c r="I98" i="133" l="1"/>
  <c r="B99" i="133" s="1"/>
  <c r="G98" i="133"/>
  <c r="I99" i="133" l="1"/>
  <c r="B100" i="133" s="1"/>
  <c r="G99" i="133"/>
  <c r="I100" i="133" l="1"/>
  <c r="B101" i="133" s="1"/>
  <c r="G100" i="133"/>
  <c r="I101" i="133" l="1"/>
  <c r="B102" i="133" s="1"/>
  <c r="G101" i="133"/>
  <c r="I102" i="133" l="1"/>
  <c r="B103" i="133" s="1"/>
  <c r="G102" i="133"/>
  <c r="I103" i="133" l="1"/>
  <c r="B104" i="133" s="1"/>
  <c r="G103" i="133"/>
  <c r="I104" i="133" l="1"/>
  <c r="B105" i="133" s="1"/>
  <c r="G104" i="133"/>
  <c r="I105" i="133" l="1"/>
  <c r="B106" i="133" s="1"/>
  <c r="G105" i="133"/>
  <c r="I106" i="133" l="1"/>
  <c r="B107" i="133" s="1"/>
  <c r="G106" i="133"/>
  <c r="I107" i="133" l="1"/>
  <c r="B108" i="133" s="1"/>
  <c r="G107" i="133"/>
  <c r="I108" i="133" l="1"/>
  <c r="B109" i="133" s="1"/>
  <c r="G108" i="133"/>
  <c r="I109" i="133" l="1"/>
  <c r="B110" i="133" s="1"/>
  <c r="G109" i="133"/>
  <c r="I110" i="133" l="1"/>
  <c r="B111" i="133" s="1"/>
  <c r="G110" i="133"/>
  <c r="I111" i="133" l="1"/>
  <c r="B112" i="133" s="1"/>
  <c r="G111" i="133"/>
  <c r="I112" i="133" l="1"/>
  <c r="B113" i="133" s="1"/>
  <c r="G112" i="133"/>
  <c r="I113" i="133" l="1"/>
  <c r="B114" i="133" s="1"/>
  <c r="G113" i="133"/>
  <c r="I114" i="133" l="1"/>
  <c r="B115" i="133" s="1"/>
  <c r="G114" i="133"/>
  <c r="I115" i="133" l="1"/>
  <c r="B116" i="133" s="1"/>
  <c r="G115" i="133"/>
  <c r="I116" i="133" l="1"/>
  <c r="B117" i="133" s="1"/>
  <c r="G116" i="133"/>
  <c r="I117" i="133" l="1"/>
  <c r="B118" i="133" s="1"/>
  <c r="G117" i="133"/>
  <c r="I118" i="133" l="1"/>
  <c r="B119" i="133" s="1"/>
  <c r="G118" i="133"/>
  <c r="I119" i="133" l="1"/>
  <c r="B120" i="133" s="1"/>
  <c r="G119" i="133"/>
  <c r="I120" i="133" l="1"/>
  <c r="B121" i="133" s="1"/>
  <c r="G120" i="133"/>
  <c r="I121" i="133" l="1"/>
  <c r="B122" i="133" s="1"/>
  <c r="G121" i="133"/>
  <c r="I122" i="133" l="1"/>
  <c r="B123" i="133" s="1"/>
  <c r="G122" i="133"/>
  <c r="I123" i="133" l="1"/>
  <c r="B124" i="133" s="1"/>
  <c r="G123" i="133"/>
  <c r="I124" i="133" l="1"/>
  <c r="B125" i="133" s="1"/>
  <c r="G124" i="133"/>
  <c r="I125" i="133" l="1"/>
  <c r="B126" i="133" s="1"/>
  <c r="G125" i="133"/>
  <c r="I126" i="133" l="1"/>
  <c r="B127" i="133" s="1"/>
  <c r="G126" i="133"/>
  <c r="I127" i="133" l="1"/>
  <c r="B128" i="133" s="1"/>
  <c r="G127" i="133"/>
  <c r="I128" i="133" l="1"/>
  <c r="B129" i="133" s="1"/>
  <c r="G128" i="133"/>
  <c r="I129" i="133" l="1"/>
  <c r="B130" i="133" s="1"/>
  <c r="G129" i="133"/>
  <c r="I130" i="133" l="1"/>
  <c r="B131" i="133" s="1"/>
  <c r="G130" i="133"/>
  <c r="I131" i="133" l="1"/>
  <c r="B132" i="133" s="1"/>
  <c r="G131" i="133"/>
  <c r="I132" i="133" l="1"/>
  <c r="B133" i="133" s="1"/>
  <c r="G132" i="133"/>
  <c r="I133" i="133" l="1"/>
  <c r="B134" i="133" s="1"/>
  <c r="G133" i="133"/>
  <c r="I134" i="133" l="1"/>
  <c r="B135" i="133" s="1"/>
  <c r="G134" i="133"/>
  <c r="I135" i="133" l="1"/>
  <c r="B136" i="133" s="1"/>
  <c r="G135" i="133"/>
  <c r="I136" i="133" l="1"/>
  <c r="B137" i="133" s="1"/>
  <c r="G136" i="133"/>
  <c r="I137" i="133" l="1"/>
  <c r="B138" i="133" s="1"/>
  <c r="G137" i="133"/>
  <c r="I138" i="133" l="1"/>
  <c r="B139" i="133" s="1"/>
  <c r="G138" i="133"/>
  <c r="H139" i="133" l="1"/>
  <c r="I139" i="133" s="1"/>
  <c r="G139" i="133"/>
  <c r="Q97" i="58" l="1"/>
  <c r="Q94" i="58"/>
  <c r="D21" i="140"/>
  <c r="J16" i="146"/>
  <c r="Y14" i="99"/>
  <c r="Y31" i="99"/>
  <c r="Y26" i="99"/>
  <c r="Y29" i="99"/>
  <c r="Y44" i="99"/>
  <c r="Y20" i="99"/>
  <c r="Y37" i="99"/>
  <c r="Y46" i="99"/>
  <c r="Y30" i="99"/>
  <c r="X48" i="99"/>
  <c r="Y38" i="99"/>
  <c r="H34" i="106"/>
  <c r="H31" i="106"/>
  <c r="H37" i="106"/>
  <c r="H36" i="106"/>
  <c r="H30" i="106"/>
  <c r="H35" i="106"/>
  <c r="H38" i="106"/>
  <c r="Q91" i="58"/>
  <c r="J13" i="146"/>
  <c r="W48" i="136"/>
  <c r="K24" i="146"/>
  <c r="I6" i="139"/>
  <c r="K25" i="146"/>
  <c r="I7" i="139"/>
  <c r="L30" i="106"/>
  <c r="H107" i="58"/>
  <c r="H108" i="58"/>
  <c r="J107" i="58"/>
  <c r="J108" i="58"/>
  <c r="Q93" i="58"/>
  <c r="J17" i="146"/>
  <c r="D34" i="138"/>
  <c r="F21" i="106"/>
  <c r="K37" i="106"/>
  <c r="I71" i="58"/>
  <c r="D36" i="138"/>
  <c r="K38" i="106"/>
  <c r="F22" i="106"/>
  <c r="I61" i="76"/>
  <c r="I60" i="76"/>
  <c r="F85" i="78"/>
  <c r="I88" i="58"/>
  <c r="F120" i="78"/>
  <c r="U44" i="136"/>
  <c r="K35" i="106"/>
  <c r="F19" i="106"/>
  <c r="L36" i="106"/>
  <c r="Z46" i="137"/>
  <c r="G108" i="58"/>
  <c r="G107" i="58"/>
  <c r="J29" i="58"/>
  <c r="I119" i="58"/>
  <c r="J106" i="58"/>
  <c r="I25" i="138"/>
  <c r="F110" i="78"/>
  <c r="G70" i="58"/>
  <c r="J15" i="146"/>
  <c r="D20" i="140"/>
  <c r="K29" i="146"/>
  <c r="D6" i="140"/>
  <c r="K31" i="106"/>
  <c r="F15" i="106"/>
  <c r="F80" i="78"/>
  <c r="F24" i="78"/>
  <c r="I22" i="138"/>
  <c r="D238" i="126"/>
  <c r="D242" i="126"/>
  <c r="F82" i="78"/>
  <c r="D39" i="138"/>
  <c r="I117" i="58"/>
  <c r="O46" i="136"/>
  <c r="U46" i="136"/>
  <c r="L37" i="106"/>
  <c r="J37" i="106"/>
  <c r="J59" i="58"/>
  <c r="Q88" i="58"/>
  <c r="F54" i="76"/>
  <c r="K30" i="146"/>
  <c r="K31" i="146"/>
  <c r="F14" i="106"/>
  <c r="J30" i="106"/>
  <c r="K30" i="106"/>
  <c r="F61" i="76"/>
  <c r="F60" i="76"/>
  <c r="F18" i="106"/>
  <c r="X48" i="136"/>
  <c r="D29" i="106"/>
  <c r="J34" i="106"/>
  <c r="K34" i="106"/>
  <c r="D37" i="138"/>
  <c r="F12" i="76"/>
  <c r="I87" i="58"/>
  <c r="F21" i="78"/>
  <c r="F61" i="78"/>
  <c r="O26" i="136"/>
  <c r="F71" i="58"/>
  <c r="G71" i="58"/>
  <c r="L38" i="106"/>
  <c r="J38" i="106"/>
  <c r="J35" i="106"/>
  <c r="G35" i="106"/>
  <c r="L35" i="106"/>
  <c r="G30" i="106"/>
  <c r="G26" i="58"/>
  <c r="L31" i="106"/>
  <c r="J31" i="106"/>
  <c r="F79" i="78"/>
  <c r="Q80" i="58"/>
  <c r="G20" i="58"/>
  <c r="G21" i="58"/>
  <c r="G23" i="58"/>
  <c r="U26" i="136"/>
  <c r="F113" i="78"/>
  <c r="C6" i="139"/>
  <c r="K6" i="139"/>
  <c r="D46" i="140"/>
  <c r="F18" i="78"/>
  <c r="D12" i="140"/>
  <c r="G119" i="58"/>
  <c r="Q76" i="58"/>
  <c r="H117" i="58"/>
  <c r="H119" i="58"/>
  <c r="I115" i="58"/>
  <c r="Q75" i="58"/>
  <c r="F111" i="78"/>
  <c r="E125" i="78"/>
  <c r="F125" i="78"/>
  <c r="G37" i="106"/>
  <c r="Z26" i="137"/>
  <c r="I52" i="76"/>
  <c r="I56" i="76"/>
  <c r="M11" i="138"/>
  <c r="I26" i="138"/>
  <c r="K32" i="146"/>
  <c r="Y30" i="136"/>
  <c r="Z30" i="137"/>
  <c r="Y31" i="136"/>
  <c r="Z31" i="137"/>
  <c r="I50" i="76"/>
  <c r="D4" i="140"/>
  <c r="G80" i="58"/>
  <c r="G78" i="58"/>
  <c r="F118" i="78"/>
  <c r="E110" i="78"/>
  <c r="E111" i="78"/>
  <c r="E113" i="78"/>
  <c r="E118" i="78"/>
  <c r="E120" i="78"/>
  <c r="F19" i="78"/>
  <c r="I108" i="58"/>
  <c r="I106" i="58"/>
  <c r="I107" i="58"/>
  <c r="D19" i="140"/>
  <c r="J14" i="146"/>
  <c r="J116" i="58"/>
  <c r="J115" i="58"/>
  <c r="I54" i="76"/>
  <c r="J103" i="58"/>
  <c r="J104" i="58"/>
  <c r="J102" i="58"/>
  <c r="K28" i="146"/>
  <c r="M10" i="138"/>
  <c r="C49" i="140"/>
  <c r="D48" i="140"/>
  <c r="Y14" i="136"/>
  <c r="Z14" i="137"/>
  <c r="I82" i="58"/>
  <c r="I84" i="58"/>
  <c r="I89" i="58"/>
  <c r="F10" i="76"/>
  <c r="G38" i="106"/>
  <c r="F56" i="78"/>
  <c r="Q78" i="58"/>
  <c r="J10" i="146"/>
  <c r="J12" i="146"/>
  <c r="F48" i="78"/>
  <c r="E18" i="78"/>
  <c r="E19" i="78"/>
  <c r="E21" i="78"/>
  <c r="E24" i="78"/>
  <c r="E29" i="78"/>
  <c r="F29" i="78"/>
  <c r="F20" i="106"/>
  <c r="G36" i="106"/>
  <c r="J36" i="106"/>
  <c r="K36" i="106"/>
  <c r="Q73" i="58"/>
  <c r="D11" i="140"/>
  <c r="D14" i="140"/>
  <c r="G31" i="106"/>
  <c r="O14" i="136"/>
  <c r="U14" i="136"/>
  <c r="W14" i="136"/>
  <c r="X14" i="136"/>
  <c r="H10" i="146"/>
  <c r="H12" i="146"/>
  <c r="H106" i="58"/>
  <c r="F87" i="78"/>
  <c r="H104" i="58"/>
  <c r="O44" i="136"/>
  <c r="F4" i="140"/>
  <c r="F6" i="140"/>
  <c r="G51" i="58"/>
  <c r="G56" i="58"/>
  <c r="M8" i="138"/>
  <c r="I23" i="138"/>
  <c r="D35" i="138"/>
  <c r="I56" i="58"/>
  <c r="I59" i="58"/>
  <c r="I83" i="58"/>
  <c r="I104" i="58"/>
  <c r="I102" i="58"/>
  <c r="Y46" i="136"/>
  <c r="W46" i="136"/>
  <c r="X46" i="136"/>
  <c r="F11" i="76"/>
  <c r="J117" i="58"/>
  <c r="J119" i="58"/>
  <c r="F104" i="58"/>
  <c r="F106" i="58"/>
  <c r="Q74" i="58"/>
  <c r="G72" i="58"/>
  <c r="F49" i="58"/>
  <c r="F51" i="58"/>
  <c r="F56" i="58"/>
  <c r="I49" i="58"/>
  <c r="I51" i="58"/>
  <c r="G117" i="58"/>
  <c r="I103" i="58"/>
  <c r="J100" i="58"/>
  <c r="I29" i="58"/>
  <c r="I36" i="76"/>
  <c r="M7" i="138"/>
  <c r="C45" i="140"/>
  <c r="D45" i="140"/>
  <c r="D49" i="140"/>
  <c r="G104" i="58"/>
  <c r="G106" i="58"/>
  <c r="X44" i="136"/>
  <c r="Y44" i="136"/>
  <c r="Z44" i="137"/>
  <c r="C7" i="139"/>
  <c r="K7" i="139"/>
  <c r="O38" i="136"/>
  <c r="U38" i="136"/>
  <c r="W38" i="136"/>
  <c r="X38" i="136"/>
  <c r="Y38" i="136"/>
  <c r="Z38" i="137"/>
  <c r="F38" i="136"/>
  <c r="M14" i="138"/>
  <c r="I29" i="138"/>
  <c r="D40" i="138"/>
  <c r="O31" i="136"/>
  <c r="U31" i="136"/>
  <c r="W31" i="136"/>
  <c r="X31" i="136"/>
  <c r="G100" i="58"/>
  <c r="G103" i="58"/>
  <c r="H100" i="58"/>
  <c r="H103" i="58"/>
  <c r="I100" i="58"/>
  <c r="F49" i="78"/>
  <c r="H12" i="76"/>
  <c r="I48" i="58"/>
  <c r="J48" i="58"/>
  <c r="J49" i="58"/>
  <c r="J51" i="58"/>
  <c r="J56" i="58"/>
  <c r="W26" i="136"/>
  <c r="X26" i="136"/>
  <c r="Y26" i="136"/>
  <c r="O30" i="136"/>
  <c r="U30" i="136"/>
  <c r="W30" i="136"/>
  <c r="X30" i="136"/>
  <c r="F51" i="78"/>
  <c r="J20" i="58"/>
  <c r="J21" i="58"/>
  <c r="J23" i="58"/>
  <c r="J26" i="58"/>
  <c r="E79" i="78"/>
  <c r="E80" i="78"/>
  <c r="E82" i="78"/>
  <c r="E85" i="78"/>
  <c r="E87" i="78"/>
  <c r="E92" i="78"/>
  <c r="F92" i="78"/>
  <c r="F36" i="76"/>
  <c r="F50" i="76"/>
  <c r="F52" i="76"/>
  <c r="F56" i="76"/>
  <c r="Q57" i="58"/>
  <c r="Q59" i="58"/>
  <c r="Q83" i="58"/>
  <c r="I23" i="58"/>
  <c r="I26" i="58"/>
  <c r="I70" i="58"/>
  <c r="I72" i="58"/>
  <c r="I78" i="58"/>
  <c r="I80" i="58"/>
  <c r="G114" i="58"/>
  <c r="G116" i="58"/>
  <c r="H113" i="58"/>
  <c r="H116" i="58"/>
  <c r="I113" i="58"/>
  <c r="I116" i="58"/>
  <c r="J113" i="58"/>
  <c r="Q84" i="58"/>
  <c r="Q89" i="58"/>
  <c r="S93" i="58"/>
  <c r="K17" i="146"/>
  <c r="G48" i="58"/>
  <c r="G49" i="58"/>
  <c r="O37" i="136"/>
  <c r="U37" i="136"/>
  <c r="W37" i="136"/>
  <c r="X37" i="136"/>
  <c r="Y37" i="136"/>
  <c r="Z37" i="137"/>
  <c r="F70" i="58"/>
  <c r="F72" i="58"/>
  <c r="F78" i="58"/>
  <c r="F80" i="58"/>
  <c r="F101" i="58"/>
  <c r="F103" i="58"/>
  <c r="F23" i="58"/>
  <c r="F26" i="58"/>
  <c r="I76" i="76"/>
  <c r="I78" i="76"/>
  <c r="H10" i="76"/>
  <c r="H11" i="76"/>
  <c r="I20" i="58"/>
  <c r="I21" i="58"/>
  <c r="I35" i="76"/>
  <c r="I65" i="76"/>
  <c r="I66" i="76"/>
  <c r="F37" i="136"/>
  <c r="M13" i="138"/>
  <c r="I28" i="138"/>
  <c r="F30" i="136"/>
  <c r="F31" i="136"/>
  <c r="M12" i="138"/>
  <c r="I27" i="138"/>
  <c r="D38" i="138"/>
  <c r="F29" i="136"/>
  <c r="O29" i="136"/>
  <c r="U29" i="136"/>
  <c r="W29" i="136"/>
  <c r="W44" i="136"/>
  <c r="H23" i="122"/>
  <c r="H24" i="122"/>
  <c r="H25" i="122"/>
  <c r="H22" i="122"/>
  <c r="E11" i="76"/>
  <c r="F20" i="58"/>
  <c r="F21" i="58"/>
  <c r="F35" i="76"/>
  <c r="F65" i="76"/>
  <c r="F66" i="76"/>
  <c r="F76" i="76"/>
  <c r="F78" i="76"/>
  <c r="E10" i="76"/>
  <c r="E12" i="76"/>
  <c r="F48" i="58"/>
  <c r="E48" i="78"/>
  <c r="E49" i="78"/>
  <c r="E51" i="78"/>
  <c r="E56" i="78"/>
  <c r="E61" i="78"/>
  <c r="Q27" i="58"/>
  <c r="Q29" i="58"/>
  <c r="Q82" i="58"/>
  <c r="Q87" i="58"/>
  <c r="F14" i="136"/>
  <c r="F20" i="136"/>
  <c r="O20" i="136"/>
  <c r="U20" i="136"/>
  <c r="W20" i="136"/>
  <c r="X20" i="136"/>
  <c r="Y20" i="136"/>
  <c r="Z20" i="1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palaniappan</author>
  </authors>
  <commentList>
    <comment ref="F46" authorId="0" shapeId="0" xr:uid="{00000000-0006-0000-0100-000001000000}">
      <text>
        <r>
          <rPr>
            <b/>
            <sz val="9"/>
            <color indexed="81"/>
            <rFont val="Tahoma"/>
            <family val="2"/>
          </rPr>
          <t>palaniappan:</t>
        </r>
        <r>
          <rPr>
            <sz val="9"/>
            <color indexed="81"/>
            <rFont val="Tahoma"/>
            <family val="2"/>
          </rPr>
          <t xml:space="preserve">
incl in PP above</t>
        </r>
      </text>
    </comment>
    <comment ref="I86" authorId="0" shapeId="0" xr:uid="{00000000-0006-0000-0100-000002000000}">
      <text>
        <r>
          <rPr>
            <b/>
            <sz val="9"/>
            <color indexed="81"/>
            <rFont val="Tahoma"/>
            <family val="2"/>
          </rPr>
          <t>palaniappan:</t>
        </r>
        <r>
          <rPr>
            <sz val="9"/>
            <color indexed="81"/>
            <rFont val="Tahoma"/>
            <family val="2"/>
          </rPr>
          <t xml:space="preserve">
not reqd to show for past periods</t>
        </r>
      </text>
    </comment>
    <comment ref="N86" authorId="0" shapeId="0" xr:uid="{00000000-0006-0000-0100-000003000000}">
      <text>
        <r>
          <rPr>
            <b/>
            <sz val="9"/>
            <color indexed="81"/>
            <rFont val="Tahoma"/>
            <family val="2"/>
          </rPr>
          <t>palaniappan:</t>
        </r>
        <r>
          <rPr>
            <sz val="9"/>
            <color indexed="81"/>
            <rFont val="Tahoma"/>
            <family val="2"/>
          </rPr>
          <t xml:space="preserve">
not reqd to show for past periods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palaniappan</author>
  </authors>
  <commentList>
    <comment ref="D9" authorId="0" shapeId="0" xr:uid="{00000000-0006-0000-0A00-000001000000}">
      <text>
        <r>
          <rPr>
            <b/>
            <sz val="9"/>
            <color indexed="81"/>
            <rFont val="Tahoma"/>
            <family val="2"/>
          </rPr>
          <t>palaniappan:</t>
        </r>
        <r>
          <rPr>
            <sz val="9"/>
            <color indexed="81"/>
            <rFont val="Tahoma"/>
            <family val="2"/>
          </rPr>
          <t xml:space="preserve">
incl in PP cost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palaniappan</author>
  </authors>
  <commentList>
    <comment ref="E27" authorId="0" shapeId="0" xr:uid="{00000000-0006-0000-2A00-000001000000}">
      <text>
        <r>
          <rPr>
            <b/>
            <sz val="9"/>
            <color indexed="81"/>
            <rFont val="Tahoma"/>
            <family val="2"/>
          </rPr>
          <t>palaniappan:</t>
        </r>
        <r>
          <rPr>
            <sz val="9"/>
            <color indexed="81"/>
            <rFont val="Tahoma"/>
            <family val="2"/>
          </rPr>
          <t xml:space="preserve">
total revenue considered under Retail Supply as tariff was combined, and MERC has also accepted this</t>
        </r>
      </text>
    </comment>
    <comment ref="D29" authorId="0" shapeId="0" xr:uid="{00000000-0006-0000-2A00-000002000000}">
      <text>
        <r>
          <rPr>
            <b/>
            <sz val="9"/>
            <color indexed="81"/>
            <rFont val="Tahoma"/>
            <family val="2"/>
          </rPr>
          <t>palaniappan:</t>
        </r>
        <r>
          <rPr>
            <sz val="9"/>
            <color indexed="81"/>
            <rFont val="Tahoma"/>
            <family val="2"/>
          </rPr>
          <t xml:space="preserve">
incl in combined Gap/(Surplus) with Retail Supply</t>
        </r>
      </text>
    </comment>
    <comment ref="E59" authorId="0" shapeId="0" xr:uid="{00000000-0006-0000-2A00-000003000000}">
      <text>
        <r>
          <rPr>
            <b/>
            <sz val="9"/>
            <color indexed="81"/>
            <rFont val="Tahoma"/>
            <family val="2"/>
          </rPr>
          <t>palaniappan:</t>
        </r>
        <r>
          <rPr>
            <sz val="9"/>
            <color indexed="81"/>
            <rFont val="Tahoma"/>
            <family val="2"/>
          </rPr>
          <t xml:space="preserve">
combined revenue</t>
        </r>
      </text>
    </comment>
    <comment ref="D61" authorId="0" shapeId="0" xr:uid="{00000000-0006-0000-2A00-000004000000}">
      <text>
        <r>
          <rPr>
            <b/>
            <sz val="9"/>
            <color indexed="81"/>
            <rFont val="Tahoma"/>
            <family val="2"/>
          </rPr>
          <t>palaniappan:</t>
        </r>
        <r>
          <rPr>
            <sz val="9"/>
            <color indexed="81"/>
            <rFont val="Tahoma"/>
            <family val="2"/>
          </rPr>
          <t xml:space="preserve">
combined Gap/(Surplus)</t>
        </r>
      </text>
    </comment>
    <comment ref="E61" authorId="0" shapeId="0" xr:uid="{00000000-0006-0000-2A00-000005000000}">
      <text>
        <r>
          <rPr>
            <b/>
            <sz val="9"/>
            <color indexed="81"/>
            <rFont val="Tahoma"/>
            <family val="2"/>
          </rPr>
          <t>palaniappan:</t>
        </r>
        <r>
          <rPr>
            <sz val="9"/>
            <color indexed="81"/>
            <rFont val="Tahoma"/>
            <family val="2"/>
          </rPr>
          <t xml:space="preserve">
combined Gap/(Surplus)</t>
        </r>
      </text>
    </comment>
    <comment ref="E90" authorId="0" shapeId="0" xr:uid="{00000000-0006-0000-2A00-000006000000}">
      <text>
        <r>
          <rPr>
            <b/>
            <sz val="9"/>
            <color indexed="81"/>
            <rFont val="Tahoma"/>
            <family val="2"/>
          </rPr>
          <t>palaniappan:</t>
        </r>
        <r>
          <rPr>
            <sz val="9"/>
            <color indexed="81"/>
            <rFont val="Tahoma"/>
            <family val="2"/>
          </rPr>
          <t xml:space="preserve">
separate Wheeling Charges applicable only w.e.f. Oct 1, 2016 - actual revenue is only Rs. 3.74 crore - misleading - hence, combined true-up for FY17 also</t>
        </r>
      </text>
    </comment>
    <comment ref="E123" authorId="0" shapeId="0" xr:uid="{00000000-0006-0000-2A00-000007000000}">
      <text>
        <r>
          <rPr>
            <b/>
            <sz val="9"/>
            <color indexed="81"/>
            <rFont val="Tahoma"/>
            <family val="2"/>
          </rPr>
          <t>palaniappan:</t>
        </r>
        <r>
          <rPr>
            <sz val="9"/>
            <color indexed="81"/>
            <rFont val="Tahoma"/>
            <family val="2"/>
          </rPr>
          <t xml:space="preserve">
combined revenue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palaniappan</author>
  </authors>
  <commentList>
    <comment ref="D45" authorId="0" shapeId="0" xr:uid="{00000000-0006-0000-2D00-000001000000}">
      <text>
        <r>
          <rPr>
            <b/>
            <sz val="9"/>
            <color indexed="81"/>
            <rFont val="Tahoma"/>
            <family val="2"/>
          </rPr>
          <t>palaniappan:</t>
        </r>
        <r>
          <rPr>
            <sz val="9"/>
            <color indexed="81"/>
            <rFont val="Tahoma"/>
            <family val="2"/>
          </rPr>
          <t xml:space="preserve">
should be equal to SBBR as on 01.04 of resp year, plus 150 bp</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palaniappan</author>
  </authors>
  <commentList>
    <comment ref="J13" authorId="0" shapeId="0" xr:uid="{00000000-0006-0000-2E00-000001000000}">
      <text>
        <r>
          <rPr>
            <b/>
            <sz val="9"/>
            <color indexed="81"/>
            <rFont val="Tahoma"/>
            <family val="2"/>
          </rPr>
          <t>palaniappan:</t>
        </r>
        <r>
          <rPr>
            <sz val="9"/>
            <color indexed="81"/>
            <rFont val="Tahoma"/>
            <family val="2"/>
          </rPr>
          <t xml:space="preserve">
3.42% as per SLDC...</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nchauganjkar</author>
  </authors>
  <commentList>
    <comment ref="E90" authorId="0" shapeId="0" xr:uid="{00000000-0006-0000-2F00-000001000000}">
      <text>
        <r>
          <rPr>
            <b/>
            <sz val="9"/>
            <color indexed="81"/>
            <rFont val="Tahoma"/>
            <family val="2"/>
          </rPr>
          <t>nchauganjkar:</t>
        </r>
        <r>
          <rPr>
            <sz val="9"/>
            <color indexed="81"/>
            <rFont val="Tahoma"/>
            <family val="2"/>
          </rPr>
          <t xml:space="preserve">
Dervied quantum - As surplus power sold at IEX at Regional Periphery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Himanshu</author>
  </authors>
  <commentList>
    <comment ref="A16" authorId="0" shapeId="0" xr:uid="{00000000-0006-0000-3000-000001000000}">
      <text>
        <r>
          <rPr>
            <b/>
            <sz val="9"/>
            <color indexed="81"/>
            <rFont val="Tahoma"/>
            <family val="2"/>
          </rPr>
          <t>Himanshu:</t>
        </r>
        <r>
          <rPr>
            <sz val="9"/>
            <color indexed="81"/>
            <rFont val="Tahoma"/>
            <family val="2"/>
          </rPr>
          <t xml:space="preserve">
1. 1% CAGR considered + 0.5 MU for construction Power Building # 15
2. CAGR not considered, + 0.3 MU for Building # 9,12</t>
        </r>
      </text>
    </comment>
    <comment ref="B19" authorId="0" shapeId="0" xr:uid="{00000000-0006-0000-3000-000002000000}">
      <text>
        <r>
          <rPr>
            <b/>
            <sz val="9"/>
            <color indexed="81"/>
            <rFont val="Tahoma"/>
            <family val="2"/>
          </rPr>
          <t>Himanshu:</t>
        </r>
        <r>
          <rPr>
            <sz val="9"/>
            <color indexed="81"/>
            <rFont val="Tahoma"/>
            <family val="2"/>
          </rPr>
          <t xml:space="preserve">
Why 22 days has been considered by commission for April, 2016?</t>
        </r>
      </text>
    </comment>
    <comment ref="A29" authorId="0" shapeId="0" xr:uid="{00000000-0006-0000-3000-000003000000}">
      <text>
        <r>
          <rPr>
            <b/>
            <sz val="9"/>
            <color indexed="81"/>
            <rFont val="Tahoma"/>
            <family val="2"/>
          </rPr>
          <t>Himanshu:</t>
        </r>
        <r>
          <rPr>
            <sz val="9"/>
            <color indexed="81"/>
            <rFont val="Tahoma"/>
            <family val="2"/>
          </rPr>
          <t xml:space="preserve">
1% CAGR, Additional 1 MU per month is added on account of partial occupancy in Building #15</t>
        </r>
      </text>
    </comment>
    <comment ref="A42" authorId="0" shapeId="0" xr:uid="{00000000-0006-0000-3000-000004000000}">
      <text>
        <r>
          <rPr>
            <b/>
            <sz val="9"/>
            <color indexed="81"/>
            <rFont val="Tahoma"/>
            <family val="2"/>
          </rPr>
          <t>Himanshu:</t>
        </r>
        <r>
          <rPr>
            <sz val="9"/>
            <color indexed="81"/>
            <rFont val="Tahoma"/>
            <family val="2"/>
          </rPr>
          <t xml:space="preserve">
1% CAGR, Additional 0.5 MU per month is added on account of full occupancy in Building #15</t>
        </r>
      </text>
    </comment>
  </commentList>
</comments>
</file>

<file path=xl/sharedStrings.xml><?xml version="1.0" encoding="utf-8"?>
<sst xmlns="http://schemas.openxmlformats.org/spreadsheetml/2006/main" count="7137" uniqueCount="1357">
  <si>
    <t>Project Details</t>
  </si>
  <si>
    <t>Project Title</t>
  </si>
  <si>
    <t>Project Start Date</t>
  </si>
  <si>
    <t>Loan Amount</t>
  </si>
  <si>
    <t>Loan Source</t>
  </si>
  <si>
    <t>TOTAL</t>
  </si>
  <si>
    <t>Project Purpose</t>
  </si>
  <si>
    <t>Project Number</t>
  </si>
  <si>
    <t>Equity</t>
  </si>
  <si>
    <t>Debt</t>
  </si>
  <si>
    <t>Reference</t>
  </si>
  <si>
    <t>S.No.</t>
  </si>
  <si>
    <t>Actual</t>
  </si>
  <si>
    <t>Project Completion date 
(Scheduled)</t>
  </si>
  <si>
    <t>Revised</t>
  </si>
  <si>
    <t>Financing Plan</t>
  </si>
  <si>
    <t>(Rs. Crore)</t>
  </si>
  <si>
    <t>Original</t>
  </si>
  <si>
    <t>Tenure of Loan (years)</t>
  </si>
  <si>
    <t>Moratorium Period (years)</t>
  </si>
  <si>
    <t>Internal Accruals</t>
  </si>
  <si>
    <t>Interest Rate (% p.a.)</t>
  </si>
  <si>
    <t>Estimated</t>
  </si>
  <si>
    <t>Form 1</t>
  </si>
  <si>
    <t xml:space="preserve">Capital Expenditure Plan </t>
  </si>
  <si>
    <t>Title</t>
  </si>
  <si>
    <t>Project Code</t>
  </si>
  <si>
    <t>Benefits in Quantified Terms</t>
  </si>
  <si>
    <t>Capitalisation</t>
  </si>
  <si>
    <t>Debt Equity Ratio</t>
  </si>
  <si>
    <t>Physical Progress (%)</t>
  </si>
  <si>
    <t>Projected</t>
  </si>
  <si>
    <t>Capital Expenditure</t>
  </si>
  <si>
    <t>a) DPR Schemes</t>
  </si>
  <si>
    <t>b) Non-DPR Schemes</t>
  </si>
  <si>
    <t>(i) In-principle approved by MERC</t>
  </si>
  <si>
    <t>(ii) Yet to receive in-principle MERC approval</t>
  </si>
  <si>
    <t>…</t>
  </si>
  <si>
    <t>FY 2015-16</t>
  </si>
  <si>
    <t>Approved</t>
  </si>
  <si>
    <t xml:space="preserve">Difference = Actual - Approved </t>
  </si>
  <si>
    <t>Source of Loan</t>
  </si>
  <si>
    <t>Remarks</t>
  </si>
  <si>
    <t>Opening Balance of Loan</t>
  </si>
  <si>
    <t>Loan Repayment during the year</t>
  </si>
  <si>
    <t>Closing Balance of Loan</t>
  </si>
  <si>
    <t>Applicable Interest Rate (%)</t>
  </si>
  <si>
    <t>Interest Expenses</t>
  </si>
  <si>
    <t>Less: Expenses Capitalised</t>
  </si>
  <si>
    <t>Particulars</t>
  </si>
  <si>
    <t>Regulatory Equity at the beginning of the year</t>
  </si>
  <si>
    <t>Capitalisation during the year</t>
  </si>
  <si>
    <t>Equity portion of capitalisation during the year</t>
  </si>
  <si>
    <t>Reduction in Equity Capital on account of retirement / replacement of assets</t>
  </si>
  <si>
    <t>Regulatory Equity at the end of the year</t>
  </si>
  <si>
    <t>Form 3</t>
  </si>
  <si>
    <t>Form 4</t>
  </si>
  <si>
    <t>Aggregate Revenue Requirement - Summary Sheet</t>
  </si>
  <si>
    <t>Summary of Operations and Maintenance Expenses</t>
  </si>
  <si>
    <t>Form 3.1</t>
  </si>
  <si>
    <t>Form 3.2</t>
  </si>
  <si>
    <t>Form 3.3</t>
  </si>
  <si>
    <t>Form 3.4</t>
  </si>
  <si>
    <t>Form 5</t>
  </si>
  <si>
    <t>Form 6</t>
  </si>
  <si>
    <t>Form 7</t>
  </si>
  <si>
    <t>Form 8</t>
  </si>
  <si>
    <t>Form 9</t>
  </si>
  <si>
    <t>Form 10</t>
  </si>
  <si>
    <t>Form 11</t>
  </si>
  <si>
    <t>Ensuing Years</t>
  </si>
  <si>
    <t>April - March (Estimated)</t>
  </si>
  <si>
    <t>(a)</t>
  </si>
  <si>
    <t>(b)</t>
  </si>
  <si>
    <t>Operation &amp; Maintenance Expenses</t>
  </si>
  <si>
    <t>Interest on Working Capital</t>
  </si>
  <si>
    <t>Income Tax</t>
  </si>
  <si>
    <t>Total Revenue Expenditure</t>
  </si>
  <si>
    <t>Add: Return on Equity Capital</t>
  </si>
  <si>
    <t>Less: Non-Tariff Income</t>
  </si>
  <si>
    <t>Aggregate Revenue Requirement</t>
  </si>
  <si>
    <t>Norm</t>
  </si>
  <si>
    <t>A</t>
  </si>
  <si>
    <t>O&amp;M Expenses</t>
  </si>
  <si>
    <t>Employee Expenses</t>
  </si>
  <si>
    <t xml:space="preserve">R&amp;M Expenses </t>
  </si>
  <si>
    <t xml:space="preserve">A&amp;G Expenses </t>
  </si>
  <si>
    <t xml:space="preserve">Employee Expenses </t>
  </si>
  <si>
    <t>Total O&amp;M Expenses</t>
  </si>
  <si>
    <t>B</t>
  </si>
  <si>
    <t>C</t>
  </si>
  <si>
    <t>Officer/Managerial Cadre</t>
  </si>
  <si>
    <t>Technical</t>
  </si>
  <si>
    <t>Administrative</t>
  </si>
  <si>
    <t>Accounts and finance</t>
  </si>
  <si>
    <t>Other (Please specify)</t>
  </si>
  <si>
    <t>Staff Cadre</t>
  </si>
  <si>
    <t>Grade I</t>
  </si>
  <si>
    <t>Grade II</t>
  </si>
  <si>
    <t>Grade III</t>
  </si>
  <si>
    <t>Grade IV</t>
  </si>
  <si>
    <t>Others (please specify)</t>
  </si>
  <si>
    <t>Total Employees</t>
  </si>
  <si>
    <t>Insurance</t>
  </si>
  <si>
    <t>Gross A &amp;G Expenses</t>
  </si>
  <si>
    <t xml:space="preserve">Net A &amp;G Expenses </t>
  </si>
  <si>
    <t>Plant &amp; Machinery</t>
  </si>
  <si>
    <t>Buildings</t>
  </si>
  <si>
    <t>Gross R&amp;M Expenses</t>
  </si>
  <si>
    <t xml:space="preserve">       </t>
  </si>
  <si>
    <t>(A) Gross Fixed Assets</t>
  </si>
  <si>
    <t>Balance at the beginning of the year</t>
  </si>
  <si>
    <t>Additions during the year</t>
  </si>
  <si>
    <t>Retirement of assets during the year</t>
  </si>
  <si>
    <t>Balance at the end of the year</t>
  </si>
  <si>
    <t>Total</t>
  </si>
  <si>
    <t>(B) Depreciation</t>
  </si>
  <si>
    <t>(MU)</t>
  </si>
  <si>
    <t>Apr</t>
  </si>
  <si>
    <t>May</t>
  </si>
  <si>
    <t>Jun</t>
  </si>
  <si>
    <t>Jul</t>
  </si>
  <si>
    <t>Aug</t>
  </si>
  <si>
    <t>Sep</t>
  </si>
  <si>
    <t>Oct</t>
  </si>
  <si>
    <t>Nov</t>
  </si>
  <si>
    <t>Dec</t>
  </si>
  <si>
    <t>Jan</t>
  </si>
  <si>
    <t>Feb</t>
  </si>
  <si>
    <t>Mar</t>
  </si>
  <si>
    <t>Sale of Scrap</t>
  </si>
  <si>
    <t>Interest on advances to suppliers/contractors</t>
  </si>
  <si>
    <t>Rental from staff quarters</t>
  </si>
  <si>
    <t>Rental from contractors</t>
  </si>
  <si>
    <t>Income from hire charges from contractors and others</t>
  </si>
  <si>
    <t>Deviation</t>
  </si>
  <si>
    <t>Reason for Deviation</t>
  </si>
  <si>
    <t>Controllable</t>
  </si>
  <si>
    <t>Uncontrollable</t>
  </si>
  <si>
    <t>Revenue</t>
  </si>
  <si>
    <t>Revenue from sale of electricity</t>
  </si>
  <si>
    <t>Note: Please give detailed explanation separately for the deviations on account of uncontrollable factors</t>
  </si>
  <si>
    <t>Capitalisation Plan</t>
  </si>
  <si>
    <t>Non-Tariff Income</t>
  </si>
  <si>
    <t>Total Revenue Gap/(Surplus)</t>
  </si>
  <si>
    <t>Form 12</t>
  </si>
  <si>
    <t>FY 2016-17</t>
  </si>
  <si>
    <t>FY 2017-18</t>
  </si>
  <si>
    <t>FY 2018-19</t>
  </si>
  <si>
    <t>FY 2019-20</t>
  </si>
  <si>
    <t>Income from investments</t>
  </si>
  <si>
    <t>Income from sale of tender documents</t>
  </si>
  <si>
    <t>Interest on Loan Capital</t>
  </si>
  <si>
    <t xml:space="preserve">Depreciation </t>
  </si>
  <si>
    <t>Sharing of Gains/(Losses)</t>
  </si>
  <si>
    <t>Total O&amp;M Expenses after sharing of Gains/(losses)</t>
  </si>
  <si>
    <t>FY 2020-21</t>
  </si>
  <si>
    <t>Sr. No.</t>
  </si>
  <si>
    <t>(C ) Net Fixed Assets</t>
  </si>
  <si>
    <t>Addition of Loan during the year</t>
  </si>
  <si>
    <t xml:space="preserve">Sr. No. </t>
  </si>
  <si>
    <t>Rents of land or buildings</t>
  </si>
  <si>
    <t>Form 13</t>
  </si>
  <si>
    <t>Total Revenue</t>
  </si>
  <si>
    <t>a</t>
  </si>
  <si>
    <t>Total Expenses</t>
  </si>
  <si>
    <t>b</t>
  </si>
  <si>
    <t>Profit Before Tax</t>
  </si>
  <si>
    <t>c=a-b</t>
  </si>
  <si>
    <t>Tax Adjustment</t>
  </si>
  <si>
    <t>Add</t>
  </si>
  <si>
    <t>Depreciation considered in Expenses</t>
  </si>
  <si>
    <t>d</t>
  </si>
  <si>
    <t>Other disallowance while computing IT</t>
  </si>
  <si>
    <t>e</t>
  </si>
  <si>
    <t>Total Tax Disallowances</t>
  </si>
  <si>
    <t>f=d+e</t>
  </si>
  <si>
    <t>Less</t>
  </si>
  <si>
    <t>Tax Depreciation</t>
  </si>
  <si>
    <t>g</t>
  </si>
  <si>
    <t>Other expenses allowed for computing Income Tax</t>
  </si>
  <si>
    <t>h</t>
  </si>
  <si>
    <t>Deduction - U/s 80 IA</t>
  </si>
  <si>
    <t>i</t>
  </si>
  <si>
    <t>Other Deduction under IT</t>
  </si>
  <si>
    <t>j</t>
  </si>
  <si>
    <t>Exempt Income under IT</t>
  </si>
  <si>
    <t>k</t>
  </si>
  <si>
    <t>Total Tax Allowances</t>
  </si>
  <si>
    <t>l=g to k</t>
  </si>
  <si>
    <t>Total Taxable Income</t>
  </si>
  <si>
    <t>m=c+f-l</t>
  </si>
  <si>
    <t>n= m x Tax</t>
  </si>
  <si>
    <t xml:space="preserve">q = MAT working </t>
  </si>
  <si>
    <t xml:space="preserve">Tax Applicable </t>
  </si>
  <si>
    <t>Tax Paid</t>
  </si>
  <si>
    <t>s</t>
  </si>
  <si>
    <t>Tax Paid to Tax Provision</t>
  </si>
  <si>
    <t>t=s/r</t>
  </si>
  <si>
    <t>Tax to be recovered through ARR</t>
  </si>
  <si>
    <t>u = tx s</t>
  </si>
  <si>
    <t>MAT Computation</t>
  </si>
  <si>
    <t xml:space="preserve"> Add: Disallowances under Income Tax</t>
  </si>
  <si>
    <t>Sub total</t>
  </si>
  <si>
    <t xml:space="preserve"> Less: Deductions under Income Tax</t>
  </si>
  <si>
    <t>Book Profit</t>
  </si>
  <si>
    <t>Tax Payable at Normal rate (Corporate Tax Rate)</t>
  </si>
  <si>
    <t>r=max(n,q)</t>
  </si>
  <si>
    <t>k=c+d-e</t>
  </si>
  <si>
    <t>Computation of Working Capital Interest</t>
  </si>
  <si>
    <t>B) Third Control Period</t>
  </si>
  <si>
    <t>Interest Rate (%) - SBI Base Rate +150 basis points</t>
  </si>
  <si>
    <t>Total Working Capital Requirement</t>
  </si>
  <si>
    <t>Form 4.1</t>
  </si>
  <si>
    <t>Opening Balance of Gross Normative Loan</t>
  </si>
  <si>
    <t>Cumulative Repayment till the year</t>
  </si>
  <si>
    <t>Opening Balance of Net Normative Loan</t>
  </si>
  <si>
    <t>Less: Reduction of Normative Loan due to retirement or replacement of assets</t>
  </si>
  <si>
    <t>Closing Balance of Net Normative Loan</t>
  </si>
  <si>
    <t>Closing Balance of Gross Normative Loan</t>
  </si>
  <si>
    <t>A) Normative Loan</t>
  </si>
  <si>
    <t>Financing Charges</t>
  </si>
  <si>
    <t>Return on Equity Computation</t>
  </si>
  <si>
    <t>Return on Regulatory Equity at the beginning of the year</t>
  </si>
  <si>
    <t>Return on Regulatory Equity addition during the year</t>
  </si>
  <si>
    <t>Total Return on Equity</t>
  </si>
  <si>
    <t>Repayment of Normative loan during the year</t>
  </si>
  <si>
    <t>Provision for bad and doubtful debts</t>
  </si>
  <si>
    <t>Contribution to contingency reserves</t>
  </si>
  <si>
    <t>Power Purchase Expenses</t>
  </si>
  <si>
    <t>Intra-State Transmission Charges</t>
  </si>
  <si>
    <t>MSLDC Fees &amp; Charges</t>
  </si>
  <si>
    <t>Less: Income from other business</t>
  </si>
  <si>
    <t>Less: Receipts on account of Cross-Subsidy Surcharge</t>
  </si>
  <si>
    <t>Form 2</t>
  </si>
  <si>
    <t>Source of Power (Station wise)</t>
  </si>
  <si>
    <t>Utility share (%)</t>
  </si>
  <si>
    <t>Utility share (MW)</t>
  </si>
  <si>
    <t>Total Energy Sent Out (ESO) from the station (MU)</t>
  </si>
  <si>
    <t>Energy Received (MU)</t>
  </si>
  <si>
    <t>Total Annual Fixed charges (Rs Crore)</t>
  </si>
  <si>
    <t>Capacity Charges paid/ payable by Utility (Rs Crore)</t>
  </si>
  <si>
    <t>Total Variable Charges (Rs Crore)</t>
  </si>
  <si>
    <t>Incentive (Rs Crore)</t>
  </si>
  <si>
    <t>Any Other Charges (Please specify the type of charges)</t>
  </si>
  <si>
    <t>O&amp;M expenses for a month</t>
  </si>
  <si>
    <t>One and half months equivalent of the expected revenue from charges for use of Distribution Wires</t>
  </si>
  <si>
    <t>Less: Amount held as security deposit</t>
  </si>
  <si>
    <t>Two months of expected revenue from charges for use of Distribution wires</t>
  </si>
  <si>
    <t>Two months of expected revenue from sale of electricity at prevailing</t>
  </si>
  <si>
    <t>Less: One month equivalent of cost of Power Purchase</t>
  </si>
  <si>
    <t>One and half months equivalent of the expected revenue from sale of electricity including revenue from CSS and Additional Surcharge</t>
  </si>
  <si>
    <t>Category</t>
  </si>
  <si>
    <t xml:space="preserve">Interest on Working Capital </t>
  </si>
  <si>
    <t>Form 5.1</t>
  </si>
  <si>
    <t>Form 5.2</t>
  </si>
  <si>
    <t>A) Distribution Wires Business</t>
  </si>
  <si>
    <t>B) Retail Supply Business</t>
  </si>
  <si>
    <t>Retail Supply Business</t>
  </si>
  <si>
    <t>Interest on deposit from Consumers and Distribution System Users</t>
  </si>
  <si>
    <t>Aggregate Revenue Requirement from Retail Tariff</t>
  </si>
  <si>
    <t>Aggregate Revenue Requirement from Distribution Wires</t>
  </si>
  <si>
    <t>Power Purchase Expenses (including Inter-State Transmission Charges)</t>
  </si>
  <si>
    <t>Interest on Consumer Security Deposit</t>
  </si>
  <si>
    <t>Less: Receipts on account of Additional Surcharge, if any</t>
  </si>
  <si>
    <t>Form 1 : Customer Sales Forecast</t>
  </si>
  <si>
    <t>Consumer Category &amp; Consumption Slab</t>
  </si>
  <si>
    <t>HT Category</t>
  </si>
  <si>
    <t>Category-1</t>
  </si>
  <si>
    <t>Category-n</t>
  </si>
  <si>
    <t>LT Category</t>
  </si>
  <si>
    <t>Voltage Level</t>
  </si>
  <si>
    <t>Energy Input</t>
  </si>
  <si>
    <t xml:space="preserve">Direct Sale </t>
  </si>
  <si>
    <t>Total Output</t>
  </si>
  <si>
    <t>Total Losses</t>
  </si>
  <si>
    <t>Total Losses (% of Energy Input)</t>
  </si>
  <si>
    <t>Total Technical Loss</t>
  </si>
  <si>
    <t>Total Technical Losses (% of Energy Input)</t>
  </si>
  <si>
    <t>Total Commercial Loss</t>
  </si>
  <si>
    <t>Total Commercial Loss (% of Energy Input)</t>
  </si>
  <si>
    <t>A) Sales Forecast</t>
  </si>
  <si>
    <t>April-March      (Actual)</t>
  </si>
  <si>
    <t xml:space="preserve"> Total                      (Estimated)</t>
  </si>
  <si>
    <t>Form 1.1 : Wheeling Forecast</t>
  </si>
  <si>
    <t>Energy Sent to Lower network</t>
  </si>
  <si>
    <t>Installed Capacity    (MW)</t>
  </si>
  <si>
    <t>External Losses (%)</t>
  </si>
  <si>
    <t>Unit received at periphery (%)</t>
  </si>
  <si>
    <t>Variable Cost per unit including Fuel Price Adjustment (Rs/kWh)</t>
  </si>
  <si>
    <t>Long term / Medium term Sources</t>
  </si>
  <si>
    <t>Short term Sources</t>
  </si>
  <si>
    <t>Form 3:  Operations and Maintenance Expenses Summary</t>
  </si>
  <si>
    <t>Total Operation &amp; Maintenance Expenses</t>
  </si>
  <si>
    <t>Units</t>
  </si>
  <si>
    <t>For Sales in Supply Business</t>
  </si>
  <si>
    <t>paise/kWh</t>
  </si>
  <si>
    <t>For No. of Consumers in Supply Business</t>
  </si>
  <si>
    <t>Rs Lakh/ '000 Consumers</t>
  </si>
  <si>
    <t>%  of GFA</t>
  </si>
  <si>
    <t>Parameters for O&amp;M Expenses</t>
  </si>
  <si>
    <t>Sales</t>
  </si>
  <si>
    <t>MU</t>
  </si>
  <si>
    <t>No. of Consumers in Supply Business</t>
  </si>
  <si>
    <t xml:space="preserve"> '000 Consumers</t>
  </si>
  <si>
    <t>Opening GFA</t>
  </si>
  <si>
    <t>B)</t>
  </si>
  <si>
    <t xml:space="preserve">Total O&amp;M Expenses </t>
  </si>
  <si>
    <t>For Wheeled Energy</t>
  </si>
  <si>
    <t>For No. of Consumers in Wires Business</t>
  </si>
  <si>
    <t>No. of Consumers in Wires Business</t>
  </si>
  <si>
    <t>Form 3.2: O&amp;M Expenses for Third Control Period</t>
  </si>
  <si>
    <t>Details of number of employees</t>
  </si>
  <si>
    <t>Form 3.4: Administration &amp; General Expenses</t>
  </si>
  <si>
    <t>Form 3.5: Repair &amp; Maintenance Expenses</t>
  </si>
  <si>
    <t>Less: R&amp;M Expenses Capitalised</t>
  </si>
  <si>
    <t>Net R&amp;M Expenses</t>
  </si>
  <si>
    <t>Form 5: Assets &amp; Depreciation</t>
  </si>
  <si>
    <t>For Retail Supply Business</t>
  </si>
  <si>
    <t>For Distribution Wires and Retail Supply Business</t>
  </si>
  <si>
    <t>For Distribution Wires Business</t>
  </si>
  <si>
    <t>Form 6: Interest on Loan Capital</t>
  </si>
  <si>
    <t>Form 7: Interest on Working Capital</t>
  </si>
  <si>
    <t xml:space="preserve">One-twelfth (1/12) of amount of O&amp;M expense </t>
  </si>
  <si>
    <t>One-twelfth (1/12) of sum of the book value of stores, materials and supplies including fuel on hand at the end of each month of such financial year</t>
  </si>
  <si>
    <t>Distribution Wires Business</t>
  </si>
  <si>
    <t>Computation of working capital interest</t>
  </si>
  <si>
    <t>Rate of Interest (% p.a.)</t>
  </si>
  <si>
    <t>Interest on Security Deposit</t>
  </si>
  <si>
    <t>Maintenance Spares at 1% of Opening GFA</t>
  </si>
  <si>
    <t>Less: One month equivalent of cost of power purchase, transmission charges and MSLDC Charges</t>
  </si>
  <si>
    <t>Supervision charges for capital works</t>
  </si>
  <si>
    <t>Income from consumer charges levied in accordance with Schedule of Charges approved by the Commission</t>
  </si>
  <si>
    <t>Income from recovery against theft and/or pilferage of electricity</t>
  </si>
  <si>
    <t>Income from advertisements</t>
  </si>
  <si>
    <t>Oct-Mar          (Estimated)</t>
  </si>
  <si>
    <t>Form 13:  Revenue from Sale of Electricity</t>
  </si>
  <si>
    <t xml:space="preserve">     Percentage (%)</t>
  </si>
  <si>
    <t>Customer Sales Forecast</t>
  </si>
  <si>
    <t>Wheeling Forecast</t>
  </si>
  <si>
    <t>Distribution Losses</t>
  </si>
  <si>
    <t>Form 1.1</t>
  </si>
  <si>
    <t>Form 1.2</t>
  </si>
  <si>
    <t>Intra-State Transmission Charges and MSLDC Charges</t>
  </si>
  <si>
    <t>Form 2.2</t>
  </si>
  <si>
    <t>O&amp;M Expenses for FY 2014-15 and FY 2015-16</t>
  </si>
  <si>
    <t>O&amp;M Expenses for Third Control Period</t>
  </si>
  <si>
    <t>Administration &amp; General Expenses</t>
  </si>
  <si>
    <t>Repair &amp; Maintenance Expenses</t>
  </si>
  <si>
    <t>Form 3.5</t>
  </si>
  <si>
    <t>Assets &amp; Depreciation (Distribution Wires + Retail Supply Business)</t>
  </si>
  <si>
    <t>Assets &amp; Depreciation (Distribution Wires Business)</t>
  </si>
  <si>
    <t>Assets &amp; Depreciation (Retail Supply Business)</t>
  </si>
  <si>
    <t>Interest on Working Capital and Interest on Consumer Security Deposit</t>
  </si>
  <si>
    <t>Expected Revenue at existing Tariff for FY 2017-18</t>
  </si>
  <si>
    <t>Expected Revenue at existing Tariff for FY 2018-19</t>
  </si>
  <si>
    <t>Expected Revenue at existing Tariff for FY 2019-20</t>
  </si>
  <si>
    <t>Form 14.1</t>
  </si>
  <si>
    <t>Form 14.2</t>
  </si>
  <si>
    <t>Form 13.1</t>
  </si>
  <si>
    <t>Form 13.2</t>
  </si>
  <si>
    <t>Form 13.3</t>
  </si>
  <si>
    <t>Expected Revenue at proposed Tariff for FY 2018-19</t>
  </si>
  <si>
    <t>Expected Revenue at proposed Tariff for FY 2019-20</t>
  </si>
  <si>
    <t>Cross-subsidy Trajectory</t>
  </si>
  <si>
    <t>Form 15</t>
  </si>
  <si>
    <t>Form 16</t>
  </si>
  <si>
    <t>Form 17</t>
  </si>
  <si>
    <t>No. of consumers</t>
  </si>
  <si>
    <t>Sales in MU</t>
  </si>
  <si>
    <t>Revenue from Fixed/Demand Charges (Rs. Crore)</t>
  </si>
  <si>
    <t>Total Revenue (Rs. Crore)</t>
  </si>
  <si>
    <t>Government subsidy (Rs. Crore)</t>
  </si>
  <si>
    <t>Total revenue (Rs. Crore)</t>
  </si>
  <si>
    <t xml:space="preserve">Note: </t>
  </si>
  <si>
    <t>Estimated Revenue at existing tariff</t>
  </si>
  <si>
    <t xml:space="preserve">Components of tariff </t>
  </si>
  <si>
    <t>Relevant sales &amp; load/demand data for revenue calculation</t>
  </si>
  <si>
    <t>Full year revenue excluding Government subsidy (Rs. Crore)</t>
  </si>
  <si>
    <t>Full year revenue (including subsidy) (Rs. Crore)</t>
  </si>
  <si>
    <t>Average Billing Rate (Rs/kWh)</t>
  </si>
  <si>
    <t>Fuel surcharge per unit, if any</t>
  </si>
  <si>
    <t>Contract Demand in KVA/MVA</t>
  </si>
  <si>
    <t>Revenue from Fixed Charges</t>
  </si>
  <si>
    <t>Revenue from Demand Charges</t>
  </si>
  <si>
    <t>Revenue from Energy Charges</t>
  </si>
  <si>
    <t>Revenue from fuel surcharge</t>
  </si>
  <si>
    <t>Year : FY 2016-17</t>
  </si>
  <si>
    <t>Year : FY 2017-18</t>
  </si>
  <si>
    <t>Year : FY 2018-19</t>
  </si>
  <si>
    <t>Year : FY 2019-20</t>
  </si>
  <si>
    <t>Projected Average Cost of Supply (Rs/kWh)</t>
  </si>
  <si>
    <t>Ratio of Average Billing Rate to Projected Average Cost of Supply (%)</t>
  </si>
  <si>
    <t>% increase / decrease in Cross-subsidy</t>
  </si>
  <si>
    <t>% increase in tariff (%)</t>
  </si>
  <si>
    <t>Proposed Tariff</t>
  </si>
  <si>
    <t>….</t>
  </si>
  <si>
    <t>MSLDC Charges</t>
  </si>
  <si>
    <t>Form 18</t>
  </si>
  <si>
    <t>Rebate given to Consumer Category</t>
  </si>
  <si>
    <t>Consumer Category</t>
  </si>
  <si>
    <t>Consumer Category 1</t>
  </si>
  <si>
    <t>Consumer Category 2</t>
  </si>
  <si>
    <t>Consumer Category 3</t>
  </si>
  <si>
    <t>... ... ...</t>
  </si>
  <si>
    <t xml:space="preserve">Total </t>
  </si>
  <si>
    <t xml:space="preserve">Approved Tariff </t>
  </si>
  <si>
    <t>Rs./kWh</t>
  </si>
  <si>
    <t>Rebate given</t>
  </si>
  <si>
    <t>Rs. Crore</t>
  </si>
  <si>
    <t>Revenue Realised</t>
  </si>
  <si>
    <t>Rebate Given to consumer category</t>
  </si>
  <si>
    <t>Applicable Tariff after rebate</t>
  </si>
  <si>
    <t>MYT Order</t>
  </si>
  <si>
    <t>April-March      (Audited )</t>
  </si>
  <si>
    <t>True-Up requirement</t>
  </si>
  <si>
    <t>Apr-Sep    (Actual)</t>
  </si>
  <si>
    <t>Provisional True-Up requirement</t>
  </si>
  <si>
    <t>(c ) = (b) - (a)</t>
  </si>
  <si>
    <t>(d)</t>
  </si>
  <si>
    <t>(e)</t>
  </si>
  <si>
    <r>
      <rPr>
        <b/>
        <sz val="11"/>
        <rFont val="Times New Roman"/>
        <family val="1"/>
      </rPr>
      <t>Note</t>
    </r>
    <r>
      <rPr>
        <sz val="11"/>
        <rFont val="Times New Roman"/>
        <family val="1"/>
      </rPr>
      <t>: * - In case MTR Order is yet to be issued, then MYT Order values to be captured under this column</t>
    </r>
  </si>
  <si>
    <t>April-March      (Actual )</t>
  </si>
  <si>
    <t>Aggregate Revenue Requirement from Retail Supply</t>
  </si>
  <si>
    <t>Sub-total</t>
  </si>
  <si>
    <t>A)</t>
  </si>
  <si>
    <t>Demand (MW)</t>
  </si>
  <si>
    <t>Base Load</t>
  </si>
  <si>
    <t>Peak Load</t>
  </si>
  <si>
    <t>Supply (MW)</t>
  </si>
  <si>
    <t>Long Term Supply</t>
  </si>
  <si>
    <t>Medium Term Supply</t>
  </si>
  <si>
    <t>Short Term Supply</t>
  </si>
  <si>
    <t>Total Supply</t>
  </si>
  <si>
    <t>Third Control Period</t>
  </si>
  <si>
    <t>FY 2021-22</t>
  </si>
  <si>
    <t>FY 2022-23</t>
  </si>
  <si>
    <t>FY 2023-24</t>
  </si>
  <si>
    <t>FY 2024-25</t>
  </si>
  <si>
    <t>FY 2025-26</t>
  </si>
  <si>
    <t>Beyond Control Period</t>
  </si>
  <si>
    <t>Form 1.3</t>
  </si>
  <si>
    <t>Total Cost of Power Purchase (Rs Crore)</t>
  </si>
  <si>
    <t>Average Cost of Power Purchase (Rs/kWh)</t>
  </si>
  <si>
    <t>Form 3.1 &amp; 3.2</t>
  </si>
  <si>
    <t>For R&amp;M Expenses</t>
  </si>
  <si>
    <t>Composite O&amp;M Norms</t>
  </si>
  <si>
    <t>O&amp;M Expenses Norm specified in Regulations</t>
  </si>
  <si>
    <t>Wheeled Energy</t>
  </si>
  <si>
    <t>R &amp; M Expenses</t>
  </si>
  <si>
    <t>Notes -</t>
  </si>
  <si>
    <t>1) Licensees are required to provide the details for the customer categories applicable to their licence area</t>
  </si>
  <si>
    <t>2) $- Seperate details of actual Sales for each Distribution Franchisee area, if any, shall be provided</t>
  </si>
  <si>
    <t>Addition of Normative Loan due to capitalisation during the year</t>
  </si>
  <si>
    <t>Average Balance of Net Normative Loan</t>
  </si>
  <si>
    <t>Weighted average Rate of Interest on actual Loans (%)</t>
  </si>
  <si>
    <t>Total Interest &amp; Financing Charges</t>
  </si>
  <si>
    <t>B) Existing Actual Long-term Loans</t>
  </si>
  <si>
    <t>Average Loan Balance</t>
  </si>
  <si>
    <t>C ) Actual Loans drawn during the year</t>
  </si>
  <si>
    <t>Actual Working Capital Interest$</t>
  </si>
  <si>
    <t>True-Up Requirement</t>
  </si>
  <si>
    <t>Less: Amount held as Security Deposit from Distribution System Users</t>
  </si>
  <si>
    <t>Consumer Contribution and Grants used during the year for Capitalisation</t>
  </si>
  <si>
    <r>
      <rPr>
        <b/>
        <sz val="11"/>
        <rFont val="Times New Roman"/>
        <family val="1"/>
      </rPr>
      <t>Note</t>
    </r>
    <r>
      <rPr>
        <sz val="11"/>
        <rFont val="Times New Roman"/>
        <family val="1"/>
      </rPr>
      <t>: 1. * - Documentary proof in the form of Challans for actual Income Tax paid needs to be submitted</t>
    </r>
  </si>
  <si>
    <t>2. Income tax paid on incentive, efficiency gains, Delayed Payment Charges, and Interest on Delayed Payment to be excluded from actual Income Tax paid, and shown separately</t>
  </si>
  <si>
    <t>Form 12 (B):  MAT Credit Available</t>
  </si>
  <si>
    <t>Opening Balance of MAT Credit available</t>
  </si>
  <si>
    <t>MAT paid during the year</t>
  </si>
  <si>
    <t>MAT Credit availed during the year</t>
  </si>
  <si>
    <t>Closing Balance of MAT Credit available</t>
  </si>
  <si>
    <t>4 = 1+2-3</t>
  </si>
  <si>
    <t>Form 12 (C):  Income Tax on Regulatory Profit Before Tax</t>
  </si>
  <si>
    <t>Tax Payable under MAT Rate</t>
  </si>
  <si>
    <t xml:space="preserve">Form 12 (A): Income Tax </t>
  </si>
  <si>
    <t xml:space="preserve">1) The licensee shall include all relevant information on categories, sub-categories and slabs, such as metered and non-metered consumption,  </t>
  </si>
  <si>
    <t>2) In 'consumers', the mean number of consumers at the end of  the year should be indicated</t>
  </si>
  <si>
    <t>3) The amount of subsidy received from the State Government should be clearly indicated for each category under the respective column and the relevant GR should be mentioned in the note below</t>
  </si>
  <si>
    <t>Sanctioned Load in kW</t>
  </si>
  <si>
    <t>Ratio of Average Billing Rate to Average Cost of Supply (%)</t>
  </si>
  <si>
    <t>A) Payment of Generator Bills</t>
  </si>
  <si>
    <t>Bill Details</t>
  </si>
  <si>
    <t>Payment made</t>
  </si>
  <si>
    <t>Delay in payment (days)</t>
  </si>
  <si>
    <t>Amount Pending (Rs. Crore)</t>
  </si>
  <si>
    <t>Month/Date</t>
  </si>
  <si>
    <t>Amount (Rs. Crore)</t>
  </si>
  <si>
    <t>Due date</t>
  </si>
  <si>
    <t>% of Bill amount paid</t>
  </si>
  <si>
    <t>Schedule Payment</t>
  </si>
  <si>
    <t>% of Amount paid</t>
  </si>
  <si>
    <t>Schedule Payment against Long Term Loans</t>
  </si>
  <si>
    <t>Year : FY 2015-16</t>
  </si>
  <si>
    <t>Payment Efficiency</t>
  </si>
  <si>
    <t>No. of consumers (Nos.)</t>
  </si>
  <si>
    <t>Input Energy (MU)</t>
  </si>
  <si>
    <t>Energy Sales (MU)</t>
  </si>
  <si>
    <t>Amount Billed (Rs. Crore)</t>
  </si>
  <si>
    <t>Amount Collected (Rs. Crore)</t>
  </si>
  <si>
    <t>Metered Consumers</t>
  </si>
  <si>
    <t>Unmetered Consumers</t>
  </si>
  <si>
    <t>Metered</t>
  </si>
  <si>
    <t xml:space="preserve">Unmetered </t>
  </si>
  <si>
    <t>Unmetered Sales</t>
  </si>
  <si>
    <t xml:space="preserve">Form 8: Return on Regulatory Equity </t>
  </si>
  <si>
    <t>Form 9: Non-Tariff Income</t>
  </si>
  <si>
    <t>Contribution to Contingency Reserves</t>
  </si>
  <si>
    <t>Form 11:  Contribution to Contingency Reserves</t>
  </si>
  <si>
    <t>Form 15: Cross Subsidy Trajectory</t>
  </si>
  <si>
    <t>Form 16 : Billing Efficiency and Collection Efficiency</t>
  </si>
  <si>
    <t>Billing Efficiency (%)</t>
  </si>
  <si>
    <t>Collection Efficiency (%)</t>
  </si>
  <si>
    <t>Metered Sales$</t>
  </si>
  <si>
    <t>Note</t>
  </si>
  <si>
    <t>$ - Assessed consumption for each category shall be indicated seperately</t>
  </si>
  <si>
    <t>B) Collection Efficiency</t>
  </si>
  <si>
    <t>A) Billing Efficiency</t>
  </si>
  <si>
    <t>Form 17: Trajectory for Billing Efficiency and Collection Efficiency</t>
  </si>
  <si>
    <t>Form 20 : Truing up Summary</t>
  </si>
  <si>
    <t>Form 19 : Rebate given to Consumer Category</t>
  </si>
  <si>
    <t>Form 18: Payment Efficiency</t>
  </si>
  <si>
    <t>Form 19</t>
  </si>
  <si>
    <t>Form 20</t>
  </si>
  <si>
    <t>Billing Efficiency and Collection Efficiency</t>
  </si>
  <si>
    <t>Trajectory for Billing Efficiency and Collection Efficiency</t>
  </si>
  <si>
    <t>Return on Regulatory Equity Capital</t>
  </si>
  <si>
    <t>A&amp;G Expenses</t>
  </si>
  <si>
    <t>Based on Metered Reading</t>
  </si>
  <si>
    <t>Assessed Sales</t>
  </si>
  <si>
    <t>Form 3.3: Employee Expenses</t>
  </si>
  <si>
    <t>Opening Balance of Contingency Reserves</t>
  </si>
  <si>
    <t>Opening Gross Fixed Assets</t>
  </si>
  <si>
    <t>Opening Balance of Contingency Reserves as % of Opening GFA</t>
  </si>
  <si>
    <t>Contribution to Contingency Reserves during the year</t>
  </si>
  <si>
    <t>Utilisation of Contingency Reserves during the year</t>
  </si>
  <si>
    <t>Closing Balance of Contingency Reserves</t>
  </si>
  <si>
    <t>Closing Balance of Contingency Reserves as % of Opening GFA</t>
  </si>
  <si>
    <t>Receivables for the year</t>
  </si>
  <si>
    <t>Provision for bad &amp; doubtful debts during the year</t>
  </si>
  <si>
    <t>Actual bad and doubtful debts written off</t>
  </si>
  <si>
    <t>Opening Balance of Provision for bad and doubtful debts</t>
  </si>
  <si>
    <t>Opening Balance of Provision of bad and doubtful debt as % of Receivables</t>
  </si>
  <si>
    <t>Closing Balance of Provision for bad and doubtful debts</t>
  </si>
  <si>
    <t>Form 5.1 : Assets &amp; Depreciation</t>
  </si>
  <si>
    <t>Form 5.2 : Assets &amp; Depreciation</t>
  </si>
  <si>
    <t>Form 2.2: Intra-State Transmission Charges and MSLDC Charges</t>
  </si>
  <si>
    <t>Form 2.1</t>
  </si>
  <si>
    <t>Power Procurement Quantum</t>
  </si>
  <si>
    <t>B) Details of Sales</t>
  </si>
  <si>
    <t>Energy Requirement</t>
  </si>
  <si>
    <t xml:space="preserve">B) </t>
  </si>
  <si>
    <t>Total Energy Availability</t>
  </si>
  <si>
    <t>Demand-Supply Gap/(Surplus) (MW)</t>
  </si>
  <si>
    <t>Gap /(Surplus) (MU)</t>
  </si>
  <si>
    <t>A) Power Procurement Quantum</t>
  </si>
  <si>
    <t>B) Energy Charge (Rs./kWh)</t>
  </si>
  <si>
    <t>Energy Charge (Rs./kWh)</t>
  </si>
  <si>
    <t>Contracted Capacity (MW)</t>
  </si>
  <si>
    <t>Energy requirement to be met (MU)</t>
  </si>
  <si>
    <t>Notes</t>
  </si>
  <si>
    <t>Approved Project Cost</t>
  </si>
  <si>
    <t>Opening CWIP</t>
  </si>
  <si>
    <t>Investment during the year</t>
  </si>
  <si>
    <t>Capital Work in Progress</t>
  </si>
  <si>
    <t>Closing CWIP</t>
  </si>
  <si>
    <t>Works Capitalised</t>
  </si>
  <si>
    <t>Interest Capitalised</t>
  </si>
  <si>
    <t>Expenses Capitalised</t>
  </si>
  <si>
    <t>Total Capitalisation</t>
  </si>
  <si>
    <t>Form 4.3:  Capital Work-in-progress - Project-wise details</t>
  </si>
  <si>
    <t>Form 4:  Summary of Capital Expenditure and Capitalisation</t>
  </si>
  <si>
    <t>IDC</t>
  </si>
  <si>
    <t>Capitalisation + IDC</t>
  </si>
  <si>
    <t>Form 4.2</t>
  </si>
  <si>
    <t>Form 4.3</t>
  </si>
  <si>
    <t>Capital Work-in-progress - Project-wise details</t>
  </si>
  <si>
    <t>Summary of Capital Expenditure and Capitalisation</t>
  </si>
  <si>
    <t>Form 10: Provision for Bad and doubtful Debts</t>
  </si>
  <si>
    <t>3) Licensees should submit separate data for all sub-categories and consumption slabs within each category</t>
  </si>
  <si>
    <t>Actual Losses</t>
  </si>
  <si>
    <t>Approved Losses</t>
  </si>
  <si>
    <t>Demand &amp; Supply Position</t>
  </si>
  <si>
    <t>Form 2:  Power Purchase Expenses</t>
  </si>
  <si>
    <t>Quantum of energy requirement to be met shall be considered on Merit Order principle.</t>
  </si>
  <si>
    <t>Assumptions considered for estimation of energy charges for different sources shall be submitted</t>
  </si>
  <si>
    <t>Form 2.1 : Power Procurement Quantum &amp; Energy Availability</t>
  </si>
  <si>
    <t>C) Total Energy Availability from Sources</t>
  </si>
  <si>
    <t>Assumptions considered for estimation of complete energy availability shall be submitted along with documentary evidence, as applicable</t>
  </si>
  <si>
    <t xml:space="preserve">One-twelfth (1/12) of amount of O&amp;M expenses </t>
  </si>
  <si>
    <t>Actual Average Billing Rate (Rs./kWh)</t>
  </si>
  <si>
    <t>Average Billing Rate approved in MYT/MTR Order (Rs./kWh)</t>
  </si>
  <si>
    <t>(c )</t>
  </si>
  <si>
    <t>(f)</t>
  </si>
  <si>
    <t>(h)</t>
  </si>
  <si>
    <t>Revenue from FAC (Rs. Crore)</t>
  </si>
  <si>
    <t>Revenue from RAC (Rs. Crore)</t>
  </si>
  <si>
    <t>(m)</t>
  </si>
  <si>
    <t>Variation in ABR*</t>
  </si>
  <si>
    <r>
      <t xml:space="preserve">4) * - In case the variation between ABR approved by the Commission and actual ABR for the year for any category/sub-category is greater than </t>
    </r>
    <r>
      <rPr>
        <u/>
        <sz val="11"/>
        <rFont val="Times New Roman"/>
        <family val="1"/>
      </rPr>
      <t>+</t>
    </r>
    <r>
      <rPr>
        <sz val="11"/>
        <rFont val="Times New Roman"/>
        <family val="1"/>
      </rPr>
      <t>5%, then the Licensee should submit a justification for the same</t>
    </r>
  </si>
  <si>
    <t>1) The licensee shall include all relevant information on categories, sub-categories and slabs, such as metered and non-metered consumption, as applicable for its licence area</t>
  </si>
  <si>
    <t>2) The licensee shall include all relevant information on categories, sub-categories and slabs, such as metered and non-metered consumption, as applicable for its licence area</t>
  </si>
  <si>
    <r>
      <rPr>
        <b/>
        <sz val="11"/>
        <rFont val="Times New Roman"/>
        <family val="1"/>
      </rPr>
      <t>Note</t>
    </r>
    <r>
      <rPr>
        <sz val="11"/>
        <rFont val="Times New Roman"/>
        <family val="1"/>
      </rPr>
      <t>- 1) Existing tariff shall be prevailing tariff approved by the Commission for FY 2015-16</t>
    </r>
  </si>
  <si>
    <t>3) In 'consumers', the mean number of consumers at the end of  the year should be indicated</t>
  </si>
  <si>
    <t>RAC</t>
  </si>
  <si>
    <t>Revenue from RAC</t>
  </si>
  <si>
    <r>
      <rPr>
        <b/>
        <sz val="11"/>
        <color rgb="FF000000"/>
        <rFont val="Book Antiqua"/>
        <family val="1"/>
      </rPr>
      <t>Note</t>
    </r>
    <r>
      <rPr>
        <sz val="11"/>
        <color rgb="FF000000"/>
        <rFont val="Book Antiqua"/>
        <family val="1"/>
      </rPr>
      <t>- Cross-subsidy shall be expressed as the Ratio of Average Billing Rate to Average Cost of Supply in above table for each category &amp; sub-category</t>
    </r>
  </si>
  <si>
    <t>Total Sales</t>
  </si>
  <si>
    <t>Receivables at beginning of year (Rs. Crore)</t>
  </si>
  <si>
    <t>Receivables at end of year (Rs. Crore)</t>
  </si>
  <si>
    <t>Arrears Collected (Rs. Crore)*</t>
  </si>
  <si>
    <t>* - Arrears collected would be included under Amount Collected, but are to be shown separately under these columns</t>
  </si>
  <si>
    <t>B) Scheduled Payment against Loans</t>
  </si>
  <si>
    <t>(e)=(d)x(c )</t>
  </si>
  <si>
    <t>(f)=(d)x(b)</t>
  </si>
  <si>
    <r>
      <rPr>
        <b/>
        <sz val="11"/>
        <rFont val="Times New Roman"/>
        <family val="1"/>
      </rPr>
      <t>Note</t>
    </r>
    <r>
      <rPr>
        <sz val="11"/>
        <rFont val="Times New Roman"/>
        <family val="1"/>
      </rPr>
      <t>: Detailed justification for rebate given to any consumer category should be submitted</t>
    </r>
  </si>
  <si>
    <t>Form 1.2 : Voltage Wise Sales</t>
  </si>
  <si>
    <t>Volatge Level</t>
  </si>
  <si>
    <t>Sales at 220 kV</t>
  </si>
  <si>
    <t>Sales at 66 kV</t>
  </si>
  <si>
    <t>Sales at 33 kV</t>
  </si>
  <si>
    <t>Sales at LT Level</t>
  </si>
  <si>
    <t>Form 1.3 : Distribution Losses</t>
  </si>
  <si>
    <t>Form 1.4 : Energy Balance</t>
  </si>
  <si>
    <t>Form 1.5 : Demand &amp; Supply Position</t>
  </si>
  <si>
    <t>MERC Approval No.</t>
  </si>
  <si>
    <t>MERC Approval Date</t>
  </si>
  <si>
    <t>Capital Cost</t>
  </si>
  <si>
    <t xml:space="preserve">Actual </t>
  </si>
  <si>
    <t>Actual Capital Cost Incurred</t>
  </si>
  <si>
    <t>Source of Financing for Capital Expenditure</t>
  </si>
  <si>
    <t>MERC Approved Cost</t>
  </si>
  <si>
    <t>Approved Start Date</t>
  </si>
  <si>
    <t>Actual Start Date</t>
  </si>
  <si>
    <t>Approved Date of Completion</t>
  </si>
  <si>
    <t>Actual Date of Completion</t>
  </si>
  <si>
    <t>Reasons for Delay, if any</t>
  </si>
  <si>
    <t>Cumulative Expenditure Incurred till beginning of the Year</t>
  </si>
  <si>
    <t>Capital Expenditure Capitalised</t>
  </si>
  <si>
    <t xml:space="preserve">Form 4.2: Capitalisation Plan </t>
  </si>
  <si>
    <t xml:space="preserve">Form 4.1: Capital Expenditure Plan </t>
  </si>
  <si>
    <t>Net Entitlement after sharing of gains/(losses)</t>
  </si>
  <si>
    <t>UoM</t>
  </si>
  <si>
    <t>Total (A)</t>
  </si>
  <si>
    <t>Inter-State Transmission loss</t>
  </si>
  <si>
    <t>%</t>
  </si>
  <si>
    <t>Power Purchase within Maharashtra</t>
  </si>
  <si>
    <t>4.n</t>
  </si>
  <si>
    <t>Total (C)</t>
  </si>
  <si>
    <t>Total Power Purchase Payable (A+C)</t>
  </si>
  <si>
    <t>Surplus Energy Traded (D)</t>
  </si>
  <si>
    <t>Total Power Purchase available at G&lt;&gt;T Periphery (B+C-D)</t>
  </si>
  <si>
    <t>Intra-State Transmission Loss</t>
  </si>
  <si>
    <t>Power Purchase outside State of Maharashtra</t>
  </si>
  <si>
    <t>Total Purchase at State of Maharashtra periphery (B)</t>
  </si>
  <si>
    <t>Sales at 66 kV level</t>
  </si>
  <si>
    <t xml:space="preserve">Distribution Loss </t>
  </si>
  <si>
    <t>HT Sales</t>
  </si>
  <si>
    <t>LT Sales</t>
  </si>
  <si>
    <t>Form 1.4</t>
  </si>
  <si>
    <t>Form 1.5</t>
  </si>
  <si>
    <t>Energy Balance</t>
  </si>
  <si>
    <t>Voltage wise Sales</t>
  </si>
  <si>
    <t>Sales at 110 kV/132 kV</t>
  </si>
  <si>
    <t>Total Sales at HT level</t>
  </si>
  <si>
    <t>Sales at 110 kV/132 kV level</t>
  </si>
  <si>
    <t>Sales to Own Supply Consumers</t>
  </si>
  <si>
    <t>Sales to Open Access Consumers</t>
  </si>
  <si>
    <t>Sales by Licensee to Change-over consumers on other Licensee's network</t>
  </si>
  <si>
    <t>Sales by Other Licensee to consumers on Licensee's network</t>
  </si>
  <si>
    <t>Energy Requirement at G&lt;&gt;T Periphery</t>
  </si>
  <si>
    <t>FY 2015-16*</t>
  </si>
  <si>
    <t>Revised Projections</t>
  </si>
  <si>
    <t>April-March      (Audited)</t>
  </si>
  <si>
    <t>Apr-Sep
(Actual)</t>
  </si>
  <si>
    <t>Oct-Mar
(estimated)</t>
  </si>
  <si>
    <t>(f ) = (d) - (e)</t>
  </si>
  <si>
    <t>(g)</t>
  </si>
  <si>
    <t>(i)</t>
  </si>
  <si>
    <t>(j) = (h) + (i)</t>
  </si>
  <si>
    <t>(k) = (g) - (j)</t>
  </si>
  <si>
    <t>* - Truing Up for FY 2015-16 to be done under MERC MYT Regulations 2011</t>
  </si>
  <si>
    <t>FY 2015-16 - Actual$</t>
  </si>
  <si>
    <t>FY 2016-17 - Actual$</t>
  </si>
  <si>
    <t>FY 2017-18 - Provisional</t>
  </si>
  <si>
    <t>FY 2018-19 - Revised Projection</t>
  </si>
  <si>
    <t>FY 2019-20 - Revised Projection</t>
  </si>
  <si>
    <t>FY 2015-16 - Actual vs. Approved</t>
  </si>
  <si>
    <t>FY 2016-17 - Actual vs. Approved</t>
  </si>
  <si>
    <t>Provisional</t>
  </si>
  <si>
    <t>Revised Projection</t>
  </si>
  <si>
    <t>FY 2015-16 - Actual</t>
  </si>
  <si>
    <t>FY 2016-17 - MYT Order</t>
  </si>
  <si>
    <t>FY 2016-17 - Actual</t>
  </si>
  <si>
    <t>FY 2017-18 - Actual</t>
  </si>
  <si>
    <t>FY 2017-18 - MYT Order</t>
  </si>
  <si>
    <t>Form 3.1 - O&amp;M Expenses for FY 2015-16</t>
  </si>
  <si>
    <t>Apr-Mar
(estimated)</t>
  </si>
  <si>
    <t>Normative</t>
  </si>
  <si>
    <t>A) FY 2015-16</t>
  </si>
  <si>
    <t>Approved in MYT Order</t>
  </si>
  <si>
    <t>Revenue from Sale of Electricity for FY 2015-16 and FY 2016-17</t>
  </si>
  <si>
    <t>Form 13.2:  Expected Revenue at Existing Tariff- FY 2018-19</t>
  </si>
  <si>
    <t>Form 13.3:  Expected Revenue at Existing Tariff- FY 2019-20</t>
  </si>
  <si>
    <t>Form 14.1:  Expected Revenue at Proposed Tariff- FY 2018-19</t>
  </si>
  <si>
    <t>Form 14.2:  Expected Revenue at Proposed Tariff- FY 2019-20</t>
  </si>
  <si>
    <t>(c) = (b) - (a)</t>
  </si>
  <si>
    <t>(f) = (e) - (d)</t>
  </si>
  <si>
    <t>(j) = (h)+(i)</t>
  </si>
  <si>
    <t>(k) = (j) - (g)</t>
  </si>
  <si>
    <t>(l)</t>
  </si>
  <si>
    <t>(n)</t>
  </si>
  <si>
    <t>(o)</t>
  </si>
  <si>
    <t>Past Sales Data$</t>
  </si>
  <si>
    <t>FY 2011-12</t>
  </si>
  <si>
    <t>FY 2012-13</t>
  </si>
  <si>
    <t>FY 2013-14</t>
  </si>
  <si>
    <t>FY 2014-15</t>
  </si>
  <si>
    <t>Oct-Mar
(Estimated)</t>
  </si>
  <si>
    <t>Apr-Mar
(Estimated)</t>
  </si>
  <si>
    <t xml:space="preserve"> Mid Term Review Petition Formats - Distribution Wires and Retail Supply</t>
  </si>
  <si>
    <t xml:space="preserve"> Mid Term Review  Petition Formats - Distribution Wires and Retail Supply</t>
  </si>
  <si>
    <t>Mid Term Review Petition Formats - Distribution Wires and Retail Supply</t>
  </si>
  <si>
    <t>Mid Term Review Petition Formats - Distribution &amp; Retail Supply</t>
  </si>
  <si>
    <t>Mid Term Review Petition Formats - Distribution and Retail Supply</t>
  </si>
  <si>
    <t>Mid Term Review Petition Formats- Distribution &amp; Retail Supply</t>
  </si>
  <si>
    <t>Mid Term Review Formats - Distribution &amp; Retail Supply</t>
  </si>
  <si>
    <t>FY 2018-19- MYT Order</t>
  </si>
  <si>
    <t>FY 2019-20-MYT Order</t>
  </si>
  <si>
    <t>FY 2015-16-Actual</t>
  </si>
  <si>
    <t>True up Requirement</t>
  </si>
  <si>
    <t>Actual Capex till FY 2014-15</t>
  </si>
  <si>
    <t xml:space="preserve">True-up requirement </t>
  </si>
  <si>
    <t>Provisional True-up requirement</t>
  </si>
  <si>
    <t>Truing-Up Summary - FY 2015-16 and FY 2016-17</t>
  </si>
  <si>
    <t>2) Licensees should submit separate data for all sub-categories and consumption slabs within each category</t>
  </si>
  <si>
    <t>Actual Proress till FY 2014-15</t>
  </si>
  <si>
    <t>Actual Capitalisation till FY 2014-15</t>
  </si>
  <si>
    <t>$ -Submit the documentary evidences for actual interest on working capital</t>
  </si>
  <si>
    <t>FY 2016-17*</t>
  </si>
  <si>
    <t>The documentary evidence for the actual deployment of equity shall be submitted and the source of funds for the equity shall be explained</t>
  </si>
  <si>
    <t>The documentary evidence shall be submitted in case of retirement/replacement of asset</t>
  </si>
  <si>
    <t>Less: Reduction of Normative Loan due to retirement or replacement of assets$</t>
  </si>
  <si>
    <t>$The documentary evidence shall be submitted in case of retirement/replacement of asset</t>
  </si>
  <si>
    <t>Detail Justification shall be provided for variation in approved capital expenditure and capitalisation vis-a-vis actual capital expenditure and capitalisation</t>
  </si>
  <si>
    <t>The documentary evidence shall be submitted in support of its claim of assets being put to use</t>
  </si>
  <si>
    <r>
      <rPr>
        <b/>
        <sz val="11"/>
        <rFont val="Times New Roman"/>
        <family val="1"/>
      </rPr>
      <t>Note</t>
    </r>
    <r>
      <rPr>
        <sz val="11"/>
        <rFont val="Times New Roman"/>
        <family val="1"/>
      </rPr>
      <t xml:space="preserve">: </t>
    </r>
  </si>
  <si>
    <t>MYT/MTR Order</t>
  </si>
  <si>
    <t>* - Truing Up for FY 2015-16 to be done under MERC MYT Regulations, 2011 with reference to amounts approved in the MYT Order for FY 2016-17 to FY 2019-20</t>
  </si>
  <si>
    <t>FY 2015-16 - MYT Order</t>
  </si>
  <si>
    <t>Note:</t>
  </si>
  <si>
    <t>F1</t>
  </si>
  <si>
    <t>April</t>
  </si>
  <si>
    <t>June</t>
  </si>
  <si>
    <t>July</t>
  </si>
  <si>
    <t>August</t>
  </si>
  <si>
    <t>September</t>
  </si>
  <si>
    <t>October</t>
  </si>
  <si>
    <t>November</t>
  </si>
  <si>
    <t>December</t>
  </si>
  <si>
    <t>January</t>
  </si>
  <si>
    <t>February</t>
  </si>
  <si>
    <t>March</t>
  </si>
  <si>
    <t>Sales in units</t>
  </si>
  <si>
    <t>HT-1</t>
  </si>
  <si>
    <t>HT-II</t>
  </si>
  <si>
    <t>LTIIA</t>
  </si>
  <si>
    <t>LTIIB</t>
  </si>
  <si>
    <t>LTVA</t>
  </si>
  <si>
    <t>LTVB</t>
  </si>
  <si>
    <t>HT1</t>
  </si>
  <si>
    <t>HT2</t>
  </si>
  <si>
    <t>Tariff</t>
  </si>
  <si>
    <t>No. of Consumers</t>
  </si>
  <si>
    <t>Total KWH</t>
  </si>
  <si>
    <t>LTVB (i)</t>
  </si>
  <si>
    <t>LTVB (ii)</t>
  </si>
  <si>
    <t>HT I</t>
  </si>
  <si>
    <t>LT II (A)</t>
  </si>
  <si>
    <t>LT II (B)</t>
  </si>
  <si>
    <t>LT III (A)</t>
  </si>
  <si>
    <t>LT III (B)</t>
  </si>
  <si>
    <t>Name of Existing Category</t>
  </si>
  <si>
    <t>Name of Revised  Category</t>
  </si>
  <si>
    <t>Sanction load</t>
  </si>
  <si>
    <t>&gt;150Kw</t>
  </si>
  <si>
    <t>HTII</t>
  </si>
  <si>
    <t>-</t>
  </si>
  <si>
    <t>LT I (G-P)</t>
  </si>
  <si>
    <t>0-20Kw</t>
  </si>
  <si>
    <t>&gt;20Kw</t>
  </si>
  <si>
    <t>LTIIC</t>
  </si>
  <si>
    <t xml:space="preserve">1. FY 17-18 , 1% CAGR is considered. </t>
  </si>
  <si>
    <t>2. No additional sales in B#9, 12</t>
  </si>
  <si>
    <t>1. FY 18-19 , construction power = 0.5 MU for B#15</t>
  </si>
  <si>
    <t>2. 1% CAGR is considered.</t>
  </si>
  <si>
    <t>3. Additional sales for B#9, 12 vacant floors = 0.3 MU, April-18</t>
  </si>
  <si>
    <t>Sales at 22 kV</t>
  </si>
  <si>
    <t>22 KV</t>
  </si>
  <si>
    <t>JSW, Ratnagiri, Maharashtra  through Global Energy</t>
  </si>
  <si>
    <t>Adani Power Limited Stage-III/Gujarat through Global Energy</t>
  </si>
  <si>
    <t>Energy at interface point (Licensee periphery)</t>
  </si>
  <si>
    <t>Intra state Loss</t>
  </si>
  <si>
    <t>Power Purchase Requirement (MU) at state periphery</t>
  </si>
  <si>
    <t>F 2.1</t>
  </si>
  <si>
    <t>FY 15-16</t>
  </si>
  <si>
    <t>FY16-17</t>
  </si>
  <si>
    <t>FY17-18</t>
  </si>
  <si>
    <t>Distribution loss in Mus</t>
  </si>
  <si>
    <t xml:space="preserve">Jindal Power Ltd, Dist: Raigarh, Chattisgarh through Global Energy </t>
  </si>
  <si>
    <t>Quantum at regional periphery</t>
  </si>
  <si>
    <t>Less: inter state Loss</t>
  </si>
  <si>
    <t>Quantum at state periphery</t>
  </si>
  <si>
    <t>Imbalance Pool</t>
  </si>
  <si>
    <t>GMR Energy Trading Ltd.</t>
  </si>
  <si>
    <t>GMR</t>
  </si>
  <si>
    <t>Jindal @ state periphery</t>
  </si>
  <si>
    <t>Jindal @ MBPPL Periphery</t>
  </si>
  <si>
    <t>GMR @ state Periphery</t>
  </si>
  <si>
    <t>Surplus sale</t>
  </si>
  <si>
    <t>Surplus sale @ state</t>
  </si>
  <si>
    <t>Sale of Surplus Power</t>
  </si>
  <si>
    <t>No of days</t>
  </si>
  <si>
    <t>Not Applicable</t>
  </si>
  <si>
    <t>From April 15 to Jun-15</t>
  </si>
  <si>
    <t>From July-15 to March-16</t>
  </si>
  <si>
    <t>Jindal Power Limited</t>
  </si>
  <si>
    <t>GMR Energy Trading Limited</t>
  </si>
  <si>
    <t>F13</t>
  </si>
  <si>
    <t>Assessed KWH</t>
  </si>
  <si>
    <t>CD</t>
  </si>
  <si>
    <t>MD</t>
  </si>
  <si>
    <t>Billed MD</t>
  </si>
  <si>
    <t>Demand Charges</t>
  </si>
  <si>
    <t>Energy Charges</t>
  </si>
  <si>
    <t>Wheeling Charges</t>
  </si>
  <si>
    <t>TOD</t>
  </si>
  <si>
    <t>FAC</t>
  </si>
  <si>
    <t>ED</t>
  </si>
  <si>
    <t>TOS</t>
  </si>
  <si>
    <t>PF incentive /Penalty</t>
  </si>
  <si>
    <t>Charges on Excess Demand</t>
  </si>
  <si>
    <t>Total Current Bill</t>
  </si>
  <si>
    <t>FY 16-17</t>
  </si>
  <si>
    <t>FY 17-18</t>
  </si>
  <si>
    <t>FY 17-18 April 17 -Sep 17</t>
  </si>
  <si>
    <t>Grand Total</t>
  </si>
  <si>
    <t>Building no.</t>
  </si>
  <si>
    <t>PF Penalty</t>
  </si>
  <si>
    <t xml:space="preserve">FY 16-17 </t>
  </si>
  <si>
    <t>Building no</t>
  </si>
  <si>
    <t>HT II</t>
  </si>
  <si>
    <t>F2</t>
  </si>
  <si>
    <t>Power purchase cost</t>
  </si>
  <si>
    <t>Intra-State Transmission Losses (%)</t>
  </si>
  <si>
    <t>Unit received at periphery (MU)</t>
  </si>
  <si>
    <t>Prompt payment rebate (Rs Crore)</t>
  </si>
  <si>
    <t>Jindal Power Ltd, Dist: Raigarh, Chattisgarh through Global Energy Pvt. Ltd. (Trader)</t>
  </si>
  <si>
    <t>Slot 1: 4.06 
Slot 2: 4.25</t>
  </si>
  <si>
    <t>JSW, Ratnagiri, Maharashtra through Global Energy Pvt. Ltd. (Trader)</t>
  </si>
  <si>
    <t>Adani Power Limited Stage-III/Gujarat, through Global Energy Pvt. Ltd.</t>
  </si>
  <si>
    <t>REC Purchase</t>
  </si>
  <si>
    <t xml:space="preserve">UI Purchase </t>
  </si>
  <si>
    <t>Energy Received (MU) At State Periphery</t>
  </si>
  <si>
    <t>Global</t>
  </si>
  <si>
    <t>JPL</t>
  </si>
  <si>
    <t>Surplus Power</t>
  </si>
  <si>
    <t>Rebate</t>
  </si>
  <si>
    <t>Medium term Sources</t>
  </si>
  <si>
    <t xml:space="preserve">Variable Cost per unit including Fuel Price Adjustment (Rs/kWh)
</t>
  </si>
  <si>
    <t>Solar REC Cost</t>
  </si>
  <si>
    <t>Non-Solar REC Cost</t>
  </si>
  <si>
    <t>Total REC Cost</t>
  </si>
  <si>
    <t>Solar REC Purchase</t>
  </si>
  <si>
    <t>Non-Solar REC Purchase</t>
  </si>
  <si>
    <t>Quantum in KWH</t>
  </si>
  <si>
    <t>Sale of Surplus Power -Actual</t>
  </si>
  <si>
    <t>As per audited statement</t>
  </si>
  <si>
    <t>As per bill report</t>
  </si>
  <si>
    <t>difference</t>
  </si>
  <si>
    <t>Energy charges+ TOD+PF+Chgs on Excess demand</t>
  </si>
  <si>
    <t>As per MIS &amp; Bill reprot</t>
  </si>
  <si>
    <t>ABR</t>
  </si>
  <si>
    <t>Oct 17-Mar 18</t>
  </si>
  <si>
    <t>F 3</t>
  </si>
  <si>
    <t>- Building</t>
  </si>
  <si>
    <t>- Plant and machinery</t>
  </si>
  <si>
    <t xml:space="preserve">- Computers </t>
  </si>
  <si>
    <t>Property tax</t>
  </si>
  <si>
    <t xml:space="preserve">Rates and taxes </t>
  </si>
  <si>
    <t>Legal, professional and other fees</t>
  </si>
  <si>
    <t>Communication costs</t>
  </si>
  <si>
    <t>Travelling and conveyance</t>
  </si>
  <si>
    <t>Payment to auditors' (excluding service tax) (refer note 3.28)</t>
  </si>
  <si>
    <t>Filing fees and stamping charges</t>
  </si>
  <si>
    <t>Bank charges and commission</t>
  </si>
  <si>
    <t>Project expenses written off</t>
  </si>
  <si>
    <t>Printing and stationery</t>
  </si>
  <si>
    <t>Donation</t>
  </si>
  <si>
    <t>Brokerage and commission</t>
  </si>
  <si>
    <t>Business promotion expenses</t>
  </si>
  <si>
    <t>Miscellaneous expenses</t>
  </si>
  <si>
    <t>A&amp;G</t>
  </si>
  <si>
    <t>Sub Total A</t>
  </si>
  <si>
    <t>Sub Total B</t>
  </si>
  <si>
    <t>A + B + C</t>
  </si>
  <si>
    <t>Employee Expenses ( Corporate Services)</t>
  </si>
  <si>
    <t>Mindspace Business Parks Private Limited</t>
  </si>
  <si>
    <t xml:space="preserve"> MYT Petition Formats - Distribution Wires and Retail Supply</t>
  </si>
  <si>
    <t>Assumptions</t>
  </si>
  <si>
    <t>Unit</t>
  </si>
  <si>
    <t>Allocation Matrix- Wire</t>
  </si>
  <si>
    <t>Inter-State Transmission Charges</t>
  </si>
  <si>
    <t>Depreciation</t>
  </si>
  <si>
    <t>Interest on Long-term Loan Capital</t>
  </si>
  <si>
    <t>Interest on Consumer Security Deposits</t>
  </si>
  <si>
    <t>Provision for Bad &amp; Doubtful Debts</t>
  </si>
  <si>
    <t>Return on Equity</t>
  </si>
  <si>
    <r>
      <t xml:space="preserve">* </t>
    </r>
    <r>
      <rPr>
        <i/>
        <sz val="12"/>
        <rFont val="Times New Roman"/>
        <family val="1"/>
      </rPr>
      <t>For supply allocation (1-wire allocation to be used)</t>
    </r>
  </si>
  <si>
    <t>Gross Fixed Asset and Depreciation</t>
  </si>
  <si>
    <t>Average Depreciation rate</t>
  </si>
  <si>
    <t>Interest Rates</t>
  </si>
  <si>
    <t>Rate of Interest on Long Term Loan</t>
  </si>
  <si>
    <t>Rate of Interest on Working Capital</t>
  </si>
  <si>
    <t>Rate of Interest for Carrying Cost</t>
  </si>
  <si>
    <t>Rate of Interest for Consumer Security Deposit</t>
  </si>
  <si>
    <t>Assets for Wire</t>
  </si>
  <si>
    <t>RoE rate for Wire as per MYT Regulations</t>
  </si>
  <si>
    <t>Assets for Supply</t>
  </si>
  <si>
    <t>RoE rate for Suply as per MYT Regulations</t>
  </si>
  <si>
    <t>ROE Rate (Wire + Supply)</t>
  </si>
  <si>
    <t>Sales and Energy Balance</t>
  </si>
  <si>
    <t>Distribution Loss (Target)</t>
  </si>
  <si>
    <t>Transmission Loss (State Grid Loss Acount)</t>
  </si>
  <si>
    <t>RPO Obligation</t>
  </si>
  <si>
    <t>Solar</t>
  </si>
  <si>
    <t>Non-Solar</t>
  </si>
  <si>
    <t>Contigency reserve as % of opening GFA</t>
  </si>
  <si>
    <t>O&amp;M expenses</t>
  </si>
  <si>
    <t>Employee Expenses - escalation over previous year expenses</t>
  </si>
  <si>
    <t>paisa/kWh</t>
  </si>
  <si>
    <t>A&amp;G Expenses - escalation over previous year actuals</t>
  </si>
  <si>
    <t>R&amp;M Expenses - escalation over previous year actuals</t>
  </si>
  <si>
    <t>Distribution Wires</t>
  </si>
  <si>
    <t>22 kV Receiving station</t>
  </si>
  <si>
    <t>22 kV Network</t>
  </si>
  <si>
    <t>Distribution Substations</t>
  </si>
  <si>
    <t>LT Panel  and Network</t>
  </si>
  <si>
    <t>Supply</t>
  </si>
  <si>
    <t>AMR and consumer metering</t>
  </si>
  <si>
    <t>Wire</t>
  </si>
  <si>
    <t>H1</t>
  </si>
  <si>
    <t>H2</t>
  </si>
  <si>
    <t>Computers</t>
  </si>
  <si>
    <t>Technical (On Deputation)</t>
  </si>
  <si>
    <t>Outsourced</t>
  </si>
  <si>
    <t>Corporate Office Support</t>
  </si>
  <si>
    <t>IT/Legal/Banking/Company Secretary/Etc.provided by corporate office support</t>
  </si>
  <si>
    <t>Accounts and finance (On deputation)</t>
  </si>
  <si>
    <t>Income from interest received from consumer</t>
  </si>
  <si>
    <t>No. of Customers</t>
  </si>
  <si>
    <t>1. FY 19-20 , construction power = 0.5 MU for B#15</t>
  </si>
  <si>
    <t>NOT Applicable</t>
  </si>
  <si>
    <t>FY15-16</t>
  </si>
  <si>
    <t>FY16-17 (As calculated in MYT order)</t>
  </si>
  <si>
    <t>FY17-18 (As calculated in MYT order)</t>
  </si>
  <si>
    <t>FY18-19 (As calculated in MYT order)</t>
  </si>
  <si>
    <t>FY19-20 (As calculated in MYT order)</t>
  </si>
  <si>
    <t>NOT APPLICABLE</t>
  </si>
  <si>
    <t>Wheeling forecast</t>
  </si>
  <si>
    <t>LTIIIA</t>
  </si>
  <si>
    <t>LTIIIB</t>
  </si>
  <si>
    <t>Source for Base load as per medium term PPA</t>
  </si>
  <si>
    <t>Source for Peak load as per Medium Term PPA</t>
  </si>
  <si>
    <t>Purchase for Solar RPO</t>
  </si>
  <si>
    <t>Purchase for Non-Solar RPO</t>
  </si>
  <si>
    <t>Purchase for Solar REC</t>
  </si>
  <si>
    <t>Purchase for Non-Solar REC</t>
  </si>
  <si>
    <t>Purchase of additional Power</t>
  </si>
  <si>
    <t>Leasehold land</t>
  </si>
  <si>
    <t>Building and other Civil Works</t>
  </si>
  <si>
    <t>Escalation Factor</t>
  </si>
  <si>
    <t>Sales at 22 kV level</t>
  </si>
  <si>
    <t>Energy Available for sale at 22kV</t>
  </si>
  <si>
    <t>Energy Injected and drawn at 22 kV</t>
  </si>
  <si>
    <t>Total Energy Available for Sale at 22 kV</t>
  </si>
  <si>
    <t>Office Equipment</t>
  </si>
  <si>
    <t>Computer Software</t>
  </si>
  <si>
    <t>Description of Assests</t>
  </si>
  <si>
    <t>Land held under lease</t>
  </si>
  <si>
    <t>Buildings and Civil work</t>
  </si>
  <si>
    <t>Plant and Mchinery</t>
  </si>
  <si>
    <t>Office Equipments</t>
  </si>
  <si>
    <t>Software</t>
  </si>
  <si>
    <t>Accumulated depriciation at the beginning of the year</t>
  </si>
  <si>
    <t>Accumulated depriciation at the end of the year</t>
  </si>
  <si>
    <t>Rate of Depriciationas per MYT Regulation 2011</t>
  </si>
  <si>
    <t>Rate of Depriciationas per MYT Regulation 2015</t>
  </si>
  <si>
    <t>Wires</t>
  </si>
  <si>
    <t>Less: Amount held as Security Deposit</t>
  </si>
  <si>
    <t>Distribution Wires+Retail Supply Business</t>
  </si>
  <si>
    <t>Computation of Working Capital</t>
  </si>
  <si>
    <t>Computed combined for wires and supply business</t>
  </si>
  <si>
    <t>Slot 1: 4.00 
Slot 2: 4.19</t>
  </si>
  <si>
    <t>JSW Ratnagiri, Maharashtra, through GEPL</t>
  </si>
  <si>
    <t>Non-solar</t>
  </si>
  <si>
    <t>Source as Medium term PPA</t>
  </si>
  <si>
    <t>FY 18-19</t>
  </si>
  <si>
    <t>FY 19-20</t>
  </si>
  <si>
    <t>Jindal India Thermal Power Ltd., Orissa, though Global Energy Pvt. Ltd. (Trader)</t>
  </si>
  <si>
    <t>Jindal India Thermal Power Ltd., Orissa through Global Energy</t>
  </si>
  <si>
    <t>Jindal Power Limited, Chhatisgarh</t>
  </si>
  <si>
    <t>Normative on actual parameters</t>
  </si>
  <si>
    <t>Capital Funding for MTR Petition</t>
  </si>
  <si>
    <t>For Mid Term Review Petition</t>
  </si>
  <si>
    <t>Deperciation Rates - Asset Head Wise</t>
  </si>
  <si>
    <t>Opening GFA as per Books of account</t>
  </si>
  <si>
    <t>Opening GFA as per MYT Order</t>
  </si>
  <si>
    <t>LT II A</t>
  </si>
  <si>
    <t>LT II B</t>
  </si>
  <si>
    <t>LT II C</t>
  </si>
  <si>
    <t>LT V B</t>
  </si>
  <si>
    <t>LT V A</t>
  </si>
  <si>
    <t xml:space="preserve">Serene - Power </t>
  </si>
  <si>
    <t>Term Loan</t>
  </si>
  <si>
    <t>Rs 68 Crs</t>
  </si>
  <si>
    <t>FY</t>
  </si>
  <si>
    <t>Opening Balance</t>
  </si>
  <si>
    <t xml:space="preserve">From </t>
  </si>
  <si>
    <t>To</t>
  </si>
  <si>
    <t>Days</t>
  </si>
  <si>
    <t>ROI</t>
  </si>
  <si>
    <t>Interest</t>
  </si>
  <si>
    <t>Repayment</t>
  </si>
  <si>
    <t>Closing Balance</t>
  </si>
  <si>
    <t xml:space="preserve">% of Repayment as per loan agreement  </t>
  </si>
  <si>
    <t>FY 2017-18 (H1)</t>
  </si>
  <si>
    <t>FY 2017-18 (H2)</t>
  </si>
  <si>
    <t>FY16</t>
  </si>
  <si>
    <t>Opening Loan</t>
  </si>
  <si>
    <t>Closing Loan</t>
  </si>
  <si>
    <t>Interest Exp</t>
  </si>
  <si>
    <t>Rate of interest</t>
  </si>
  <si>
    <t>Wt. Avg. Year</t>
  </si>
  <si>
    <t>Wt. Avg. Opening</t>
  </si>
  <si>
    <t>FY 17</t>
  </si>
  <si>
    <t>FY17</t>
  </si>
  <si>
    <t>FY18</t>
  </si>
  <si>
    <t>FY19</t>
  </si>
  <si>
    <t>FY20</t>
  </si>
  <si>
    <t>FY21</t>
  </si>
  <si>
    <t>FY22</t>
  </si>
  <si>
    <t>FY23</t>
  </si>
  <si>
    <t>FY24</t>
  </si>
  <si>
    <t>FY25</t>
  </si>
  <si>
    <t>FY26</t>
  </si>
  <si>
    <t>Wire Business</t>
  </si>
  <si>
    <t xml:space="preserve">Opening </t>
  </si>
  <si>
    <t>Closing</t>
  </si>
  <si>
    <t>Supply Business</t>
  </si>
  <si>
    <t>Loan - IDFC Bank</t>
  </si>
  <si>
    <t>Applicable Interest Rate (%) - Weighted average</t>
  </si>
  <si>
    <t>2200 Hrs-0600 Hrs</t>
  </si>
  <si>
    <t>0600 Hrs-0900 Hrs &amp; 1200 Hrs-1800 Hrs</t>
  </si>
  <si>
    <t>0900 Hrs-1200 Hrs</t>
  </si>
  <si>
    <t>1800 Hrs-2200 Hrs</t>
  </si>
  <si>
    <t>Sales in Kwh units</t>
  </si>
  <si>
    <t>TOD Energy Charge Amount in Rs.</t>
  </si>
  <si>
    <t>FY 16-17 
Sales in units</t>
  </si>
  <si>
    <t>TOD A</t>
  </si>
  <si>
    <t>TOD B</t>
  </si>
  <si>
    <t>TOD C</t>
  </si>
  <si>
    <t>TOD D</t>
  </si>
  <si>
    <t>TOD Energy Charge</t>
  </si>
  <si>
    <t>Mindspace Base &amp; Peak Demand</t>
  </si>
  <si>
    <t>Sr No</t>
  </si>
  <si>
    <t>Year</t>
  </si>
  <si>
    <t>Base in MW</t>
  </si>
  <si>
    <t>Peak in MW</t>
  </si>
  <si>
    <t>Total in MW</t>
  </si>
  <si>
    <t>2016-17</t>
  </si>
  <si>
    <t>2017-18 (till Oct-17)</t>
  </si>
  <si>
    <t>Contingency reserve</t>
  </si>
  <si>
    <t>Interest on Security Deposit for Wires Business</t>
  </si>
  <si>
    <t>Interest on Security Deposit for Supply Business</t>
  </si>
  <si>
    <t>IoWC for Wires Business</t>
  </si>
  <si>
    <t>IoWC for Supply Business</t>
  </si>
  <si>
    <t>Business Promotion expenses</t>
  </si>
  <si>
    <t>A) Wheeling Forecast</t>
  </si>
  <si>
    <t>Revenue from Energy Charges (Rs. Crore)[incl Wheeling Charges]</t>
  </si>
  <si>
    <t xml:space="preserve">Demand Charges (Rs/kVA/month)  </t>
  </si>
  <si>
    <t xml:space="preserve">Energy Charges (Rs/kWh) </t>
  </si>
  <si>
    <t>Wheeling Charges (Rs/kWh)</t>
  </si>
  <si>
    <t xml:space="preserve">Fixed Charges (Rs/month)  </t>
  </si>
  <si>
    <t>Revenue from Wheeling Charges</t>
  </si>
  <si>
    <t>InSTS Grid Loss for FY 2015-16</t>
  </si>
  <si>
    <t>Month</t>
  </si>
  <si>
    <t>Energy Input InSTS</t>
  </si>
  <si>
    <t>Energy Output to Utilities</t>
  </si>
  <si>
    <t>Transmission Loss</t>
  </si>
  <si>
    <t>InSTS Grid Loss for FY 2016-17</t>
  </si>
  <si>
    <t>InSTS Grid Loss for FY 2017-18</t>
  </si>
  <si>
    <t>Income from deposits</t>
  </si>
  <si>
    <t>Income Tax for Wires Business</t>
  </si>
  <si>
    <t>Income Tax for Supply Business</t>
  </si>
  <si>
    <t>(j)</t>
  </si>
  <si>
    <t>(k)=(i)+(j)</t>
  </si>
  <si>
    <t>(l)=(k)x10/(b)</t>
  </si>
  <si>
    <t>(n)=(m)-(l)</t>
  </si>
  <si>
    <t>PF (incentive)/ Penalty</t>
  </si>
  <si>
    <t>Not Applicable, as MYT Order did not approve ABR for FY 2015-16</t>
  </si>
  <si>
    <t>Energy charges+ Wheeling Charges + TOD+PF+Chgs on Excess demand</t>
  </si>
  <si>
    <t>(i) = (c )+(d) +(e)+(f)+(g)+(h)</t>
  </si>
  <si>
    <t>Revised tariff (lower) was implemented for 5 months in the year, w.e.f. Nov 2016, hence, actual ABR is higher than approved ABR in some categories</t>
  </si>
  <si>
    <t>FY 17-18 (April 17 to Mar 18 )
Sales in units</t>
  </si>
  <si>
    <t>Sub-total HT</t>
  </si>
  <si>
    <t>Sub-total LT</t>
  </si>
  <si>
    <t>Other Imcome</t>
  </si>
  <si>
    <t>Distribution Wires Business &amp; Retail Supply Business</t>
  </si>
  <si>
    <t>Net Aggregate Revenue Requirement</t>
  </si>
  <si>
    <t>Add: Revenue Gap/(Surplus) from Previous Year</t>
  </si>
  <si>
    <t>A-1</t>
  </si>
  <si>
    <t>Aggregate Revenue Requirement- Wire</t>
  </si>
  <si>
    <t>Aggregate Revenue Requirement- Retail Supply</t>
  </si>
  <si>
    <t>Revenue from Existing Tariff</t>
  </si>
  <si>
    <t>Wheeling Charges (Rs./kWh)</t>
  </si>
  <si>
    <t>Composite ACOS (Rs/kWh)</t>
  </si>
  <si>
    <t>C) Distribution Wires + Retail Supply Business</t>
  </si>
  <si>
    <t>Total ARR for Combined Wires &amp; Supply Business</t>
  </si>
  <si>
    <t>Supply ACoS (Rs./kWh)</t>
  </si>
  <si>
    <t>YoY Increase (%)</t>
  </si>
  <si>
    <t>Full Year</t>
  </si>
  <si>
    <t>WPI Index</t>
  </si>
  <si>
    <t>Average</t>
  </si>
  <si>
    <t>YoY</t>
  </si>
  <si>
    <t>CPI Index</t>
  </si>
  <si>
    <t>2009-10</t>
  </si>
  <si>
    <t>FY 2010-11</t>
  </si>
  <si>
    <t>ESCALATION RATE FOR O&amp;M EXPENSES</t>
  </si>
  <si>
    <t>True-up</t>
  </si>
  <si>
    <t>CPI (%)</t>
  </si>
  <si>
    <t>WPI (%)</t>
  </si>
  <si>
    <t>CPI:WPI::70:30</t>
  </si>
  <si>
    <t>Less: Efficiency Factor</t>
  </si>
  <si>
    <t>Escalation factor</t>
  </si>
  <si>
    <t>Jul to Dec</t>
  </si>
  <si>
    <t>Feb and March</t>
  </si>
  <si>
    <t>Apr to June</t>
  </si>
  <si>
    <t>REC Cost Computation</t>
  </si>
  <si>
    <t>Energy input (MU)</t>
  </si>
  <si>
    <t>Solar REC (%)</t>
  </si>
  <si>
    <t>Solar REC (Nos.)</t>
  </si>
  <si>
    <t>Cost of Solar REC (Rs. /unit)</t>
  </si>
  <si>
    <t xml:space="preserve">Cost of Solar REC </t>
  </si>
  <si>
    <t>Nos.</t>
  </si>
  <si>
    <t>Per unit cost</t>
  </si>
  <si>
    <t>Solar REC</t>
  </si>
  <si>
    <t>Non-Solar REC</t>
  </si>
  <si>
    <t>Cost of Non-Solar REC</t>
  </si>
  <si>
    <t>Escalation of Power Purchase Rates</t>
  </si>
  <si>
    <t>FC (Rs. per unit) -previous</t>
  </si>
  <si>
    <t>VC (Rs. per unit) -previous</t>
  </si>
  <si>
    <t>WPI Increase</t>
  </si>
  <si>
    <t>Revised FC</t>
  </si>
  <si>
    <t>Revised VC</t>
  </si>
  <si>
    <t>Total Tariff</t>
  </si>
  <si>
    <t>Tx Charges</t>
  </si>
  <si>
    <t>PROJECTION OF O&amp;M EXPENSES</t>
  </si>
  <si>
    <t>Normative O&amp;M</t>
  </si>
  <si>
    <t>Escalation rate as per MYT Order</t>
  </si>
  <si>
    <t>Actual Expenses</t>
  </si>
  <si>
    <t>R&amp;M Expenses</t>
  </si>
  <si>
    <t>Repairs and maintenance</t>
  </si>
  <si>
    <t>Employee cost</t>
  </si>
  <si>
    <t>Revised Normative</t>
  </si>
  <si>
    <t>Revised Normative as per MERC principle</t>
  </si>
  <si>
    <t>Retail</t>
  </si>
  <si>
    <t>PF incentive /Penalty (Oct 16 to Marc 2017)</t>
  </si>
  <si>
    <t>Projection of PF Incentive and Penalty</t>
  </si>
  <si>
    <t>Apr- Mar</t>
  </si>
  <si>
    <t>Oct -Mar</t>
  </si>
  <si>
    <t>FY 2017-18 onwards</t>
  </si>
  <si>
    <t>As per the MYT Order for FY 2016-17 to FY 2019-20</t>
  </si>
  <si>
    <t xml:space="preserve">Escalation rate as per First Amendment Regulations </t>
  </si>
  <si>
    <t>Carrying/(Holding) Cost on Gap/(Surplus)</t>
  </si>
  <si>
    <t>Transmission Charges &amp; MSLDC Charges shown separately for FY 2015-16 only for the purposes of filling the Format. The same are included in the Power Purchase cost, and are hence, not considered separately in the ARR summary for FY 2015-16</t>
  </si>
  <si>
    <t>Revenue Gap/(Surplus)</t>
  </si>
  <si>
    <t>Add: Revenue Gap/(Surplus) from Previous Years</t>
  </si>
  <si>
    <t>Energy charges+ TOD+PF+Chgs on Excess demand+Wheeling Charges</t>
  </si>
  <si>
    <t>Opening Gap/(Surplus)</t>
  </si>
  <si>
    <t>Gap/(Surplus) during the Year</t>
  </si>
  <si>
    <t>Gap/(Surplus) passed on to consumers</t>
  </si>
  <si>
    <t>Closing Gap/(Surplus)</t>
  </si>
  <si>
    <t>Average Gap/(Surplus)</t>
  </si>
  <si>
    <t>Interest Rate for Carrying/(Holding) Cost</t>
  </si>
  <si>
    <t>Rs. Cr</t>
  </si>
  <si>
    <t>Carrying/(Holding) Cost for the Year</t>
  </si>
  <si>
    <t>Carrying/(Holding) Cost for the Year - Wires</t>
  </si>
  <si>
    <t>Carrying/(Holding) Cost for the Year - Supply</t>
  </si>
  <si>
    <t>ACOS</t>
  </si>
  <si>
    <t>Estimated Revenue at proposed tariff</t>
  </si>
  <si>
    <t>Previous Tariff Order*</t>
  </si>
  <si>
    <t>Carrying Cost Computations- FY 2015-16</t>
  </si>
  <si>
    <t>Carrying Cost Computations- FY 2016-17</t>
  </si>
  <si>
    <t>Add: Carrying/(Holding) Cost for FY 2015-16</t>
  </si>
  <si>
    <t>Add: Carrying/(Holding) cost for FY 2016-17</t>
  </si>
  <si>
    <t>Add: Revenue Gap/(Surplus) for FY 2017-18</t>
  </si>
  <si>
    <t>Add: Revenue Gap/(Surplus) for FY 2016-17</t>
  </si>
  <si>
    <t>Add: Revenue Gap/(Surplus) for FY 2015-16</t>
  </si>
  <si>
    <t>Existing Tariff#</t>
  </si>
  <si>
    <r>
      <rPr>
        <b/>
        <sz val="11"/>
        <color rgb="FF000000"/>
        <rFont val="Book Antiqua"/>
        <family val="1"/>
      </rPr>
      <t>Note</t>
    </r>
    <r>
      <rPr>
        <sz val="11"/>
        <color rgb="FF000000"/>
        <rFont val="Book Antiqua"/>
        <family val="1"/>
      </rPr>
      <t>: * - considered the ABR and cross-subsidy approved by the Commission for the previous year, i.e., FY 2018-19, in order to show the trajectory of cross-subsidy
          # - Existing tariff means tariff approved in MYT Order for FY 2019-20</t>
    </r>
  </si>
  <si>
    <r>
      <rPr>
        <b/>
        <sz val="11"/>
        <color rgb="FF000000"/>
        <rFont val="Book Antiqua"/>
        <family val="1"/>
      </rPr>
      <t>Note</t>
    </r>
    <r>
      <rPr>
        <sz val="11"/>
        <color rgb="FF000000"/>
        <rFont val="Book Antiqua"/>
        <family val="1"/>
      </rPr>
      <t>: * - considered the ABR and cross-subsidy approved by the Commission for the previous year, i.e., FY 2017-18, in order to show the trajectory of cross-subsidy
 # - Existing tariff means tariff approved in MYT Order for FY 2018-19</t>
    </r>
  </si>
  <si>
    <t>Fixed Charges</t>
  </si>
  <si>
    <t>Rs. per month</t>
  </si>
  <si>
    <t>Proposed Tariff for FY 2018-19</t>
  </si>
  <si>
    <t>Proposed Tariff for FY 2019-20</t>
  </si>
  <si>
    <t>Approved Tariff for FY 2018-19</t>
  </si>
  <si>
    <t>Approved Tariff for FY 2019-20</t>
  </si>
  <si>
    <t>HT I -Industry</t>
  </si>
  <si>
    <t>HT II- Commercial</t>
  </si>
  <si>
    <t>LT I -General Purpose</t>
  </si>
  <si>
    <t>LT II (A) -Commercial (0-20 kW)</t>
  </si>
  <si>
    <t>LT II (B) -Commercial (above 20 kW)</t>
  </si>
  <si>
    <t>LT III (A) -Industry (0-20 kW)</t>
  </si>
  <si>
    <t>LT III (B) -Industry (Above 20 kW)</t>
  </si>
  <si>
    <t>Existing Tariff (FY 2017-18)</t>
  </si>
  <si>
    <t>Rs./kVA per month</t>
  </si>
  <si>
    <t>MSEDCL</t>
  </si>
  <si>
    <t>MBPPL</t>
  </si>
  <si>
    <t>NOT  APPLICABLE</t>
  </si>
  <si>
    <t>Vatsa New Contract</t>
  </si>
  <si>
    <t>From</t>
  </si>
  <si>
    <t>Rs. Lakh/month</t>
  </si>
  <si>
    <t>T (ABR)</t>
  </si>
  <si>
    <t>WL</t>
  </si>
  <si>
    <t>TL</t>
  </si>
  <si>
    <t>L</t>
  </si>
  <si>
    <t>C/(1-L%)</t>
  </si>
  <si>
    <t>D</t>
  </si>
  <si>
    <t>R</t>
  </si>
  <si>
    <t>CSS</t>
  </si>
  <si>
    <t>C*(1+L%)</t>
  </si>
  <si>
    <t>Approved ARR</t>
  </si>
  <si>
    <t>Gap/(Surplus)</t>
  </si>
  <si>
    <t>Gap for FY 16</t>
  </si>
  <si>
    <t>Gap for FY 17</t>
  </si>
  <si>
    <t>Gap for FY 18</t>
  </si>
  <si>
    <t>Net ARR</t>
  </si>
  <si>
    <t>Gross ARR</t>
  </si>
  <si>
    <t>Proposed</t>
  </si>
  <si>
    <t xml:space="preserve">HT I </t>
  </si>
  <si>
    <t xml:space="preserve">LT I </t>
  </si>
  <si>
    <t>FY 2019-10</t>
  </si>
  <si>
    <t>Consumer</t>
  </si>
  <si>
    <t>OA Consumer</t>
  </si>
  <si>
    <t>Wheeing Charges</t>
  </si>
  <si>
    <t>Cross-Subsidy Surcharge</t>
  </si>
  <si>
    <t>Total Variable Cost</t>
  </si>
  <si>
    <t>InSTS Charges</t>
  </si>
  <si>
    <t>Generator Cost at State Periphery</t>
  </si>
  <si>
    <t>Fixed Cost</t>
  </si>
  <si>
    <t>revenue from fixed Charges</t>
  </si>
  <si>
    <t>PP fixed cost</t>
  </si>
  <si>
    <t>Total FC</t>
  </si>
  <si>
    <t>Actuals</t>
  </si>
  <si>
    <t>Scheme No. 001</t>
  </si>
  <si>
    <t>MERC/CAPEX/FY 2016-17/905</t>
  </si>
  <si>
    <t>26th October 2016</t>
  </si>
  <si>
    <t>Establishment of basic infrastructure</t>
  </si>
  <si>
    <t>22/0.4 KV distribution transformer and switchgear</t>
  </si>
  <si>
    <t>Basic infrastructure for building no. 12</t>
  </si>
  <si>
    <t>SITC of 22KV with Panel</t>
  </si>
  <si>
    <t>NIL</t>
  </si>
  <si>
    <t>Supply of RTU Systems</t>
  </si>
  <si>
    <t>SCADA Systems for visibility to SLDC</t>
  </si>
  <si>
    <t>HT work at Substation Level at Airoli site</t>
  </si>
  <si>
    <t>ABT metering at Switching station level at MBPPL</t>
  </si>
  <si>
    <t>Projector</t>
  </si>
  <si>
    <t>Projector at Distribution licensee office</t>
  </si>
  <si>
    <t>RTDM System (Local HMI)</t>
  </si>
  <si>
    <t>RTU / Local HMI</t>
  </si>
  <si>
    <t>Meter Box with accessories</t>
  </si>
  <si>
    <t>New Connection meters with accessories</t>
  </si>
  <si>
    <t>CAPEX FY 17-18</t>
  </si>
  <si>
    <t>Harmonics Filter at HT level (Phase -1 )</t>
  </si>
  <si>
    <t>Supressing harmonics at input level</t>
  </si>
  <si>
    <t>Harmonics Filter at HT level (Phase -2 )</t>
  </si>
  <si>
    <t>IDFC</t>
  </si>
  <si>
    <t>70:30</t>
  </si>
  <si>
    <t>Ápr-15</t>
  </si>
  <si>
    <t>Mar-16</t>
  </si>
  <si>
    <t>Ápr-17</t>
  </si>
  <si>
    <t>Mar-18</t>
  </si>
  <si>
    <t>Mar-19</t>
  </si>
  <si>
    <t>A) Distribution Wires Business and Retail Supply Business</t>
  </si>
  <si>
    <t>Global Energy Pvt Ltd</t>
  </si>
  <si>
    <t>All Consumers</t>
  </si>
  <si>
    <t>Corporate</t>
  </si>
  <si>
    <t>Tax Rate</t>
  </si>
  <si>
    <t>SEHC</t>
  </si>
  <si>
    <t>MAT (below 1Cr)</t>
  </si>
  <si>
    <t>MAT (1-10 Cr)</t>
  </si>
  <si>
    <t>MAT (Above 10 Cr)</t>
  </si>
  <si>
    <t>Surcharge</t>
  </si>
  <si>
    <t>Proposed by MBPPL</t>
  </si>
  <si>
    <t>Revised Normative as per Amendment Regulations</t>
  </si>
  <si>
    <t>Jindal India Thermal Power Limited, Orissa through Global Energy</t>
  </si>
  <si>
    <t>Jindal India Thermal Power Limited, Orissa, though Global Energy Pvt. Ltd. (Trader)</t>
  </si>
  <si>
    <t>FY 2017-18-Actual</t>
  </si>
  <si>
    <t>FY 2017-18 -Actual</t>
  </si>
  <si>
    <t>Oct-Mar
(Actual)</t>
  </si>
  <si>
    <t>Apr-Mar
(Actual)</t>
  </si>
  <si>
    <t xml:space="preserve"> Total                      (Actual)</t>
  </si>
  <si>
    <t>FY 2017-18 - Actual vs. Approved</t>
  </si>
  <si>
    <t>FY 2017-18 -Actual$</t>
  </si>
  <si>
    <t>Oct-Mar          (Actual)</t>
  </si>
  <si>
    <t>April - March (Actual)</t>
  </si>
  <si>
    <t>Consumer Categories</t>
  </si>
  <si>
    <t>Billing Demand (kVA)</t>
  </si>
  <si>
    <t>Contract Demand in KVA</t>
  </si>
  <si>
    <t>Time of Day (Incentive)/Penalty</t>
  </si>
  <si>
    <t>Form 13.1:  Revenue at Existing Tariff- FY 2017-18 - Provisional</t>
  </si>
  <si>
    <t>FY 18</t>
  </si>
  <si>
    <t>FY 19</t>
  </si>
  <si>
    <t>FY 20</t>
  </si>
  <si>
    <t>Revised Submission - Post TVS</t>
  </si>
  <si>
    <t>Present Petition</t>
  </si>
  <si>
    <t>Distribution Loss (%)</t>
  </si>
  <si>
    <t>Power Purchase Quantum (MU)</t>
  </si>
  <si>
    <t>Avg. PP Cost (Rs./kWh)</t>
  </si>
  <si>
    <t>Net ARR (Rs. Crore)</t>
  </si>
  <si>
    <t>Revenue at Existing Tariff (Rs. Crore)</t>
  </si>
  <si>
    <t>Revenue Gap/(surplus) (Rs. Crore)</t>
  </si>
  <si>
    <t>ACOS (Rs./kWh)</t>
  </si>
  <si>
    <t>Tariff Hike (%)</t>
  </si>
  <si>
    <t>Net ARR for recovery (Rs. Crore)</t>
  </si>
  <si>
    <t>Supply ACOS (Rs./kWh)</t>
  </si>
  <si>
    <t>WC</t>
  </si>
  <si>
    <t>EC</t>
  </si>
  <si>
    <t>FC/DC</t>
  </si>
  <si>
    <t>As per MIS</t>
  </si>
  <si>
    <t>As per Bill Report</t>
  </si>
  <si>
    <t>April-March      (Audited/Normative)</t>
  </si>
  <si>
    <t>Medium Term PPA for Base Load</t>
  </si>
  <si>
    <t>Medium Term PPA for Peak Load</t>
  </si>
  <si>
    <t>Energy Requirement approved in MYT Order (MU)</t>
  </si>
  <si>
    <t>Solar RPO</t>
  </si>
  <si>
    <t>Solar RPO Target (%)</t>
  </si>
  <si>
    <t>Solar RPO Target (MU)</t>
  </si>
  <si>
    <t>Solar RECs Purchased (Nos.)</t>
  </si>
  <si>
    <t>Solar RPO Achieved (MU)</t>
  </si>
  <si>
    <t>% Achievement</t>
  </si>
  <si>
    <t>Non-Solar RPO</t>
  </si>
  <si>
    <t>Non-Solar RPO Target (%)</t>
  </si>
  <si>
    <t>Non-Solar RPO Target (MU)</t>
  </si>
  <si>
    <t>Non-Solar RECs Purchased (Nos.)</t>
  </si>
  <si>
    <t>Non-Solar RPO Achieved (MU)</t>
  </si>
  <si>
    <t>Gap (MU)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</si>
</sst>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43" formatCode="_ * #,##0.00_ ;_ * \-#,##0.00_ ;_ * &quot;-&quot;??_ ;_ @_ "/>
    <numFmt numFmtId="164" formatCode="_(* #,##0_);_(* \(#,##0\);_(* &quot;-&quot;_);_(@_)"/>
    <numFmt numFmtId="165" formatCode="_(&quot;$&quot;* #,##0.00_);_(&quot;$&quot;* \(#,##0.00\);_(&quot;$&quot;* &quot;-&quot;??_);_(@_)"/>
    <numFmt numFmtId="166" formatCode="_(* #,##0.00_);_(* \(#,##0.00\);_(* &quot;-&quot;??_);_(@_)"/>
    <numFmt numFmtId="167" formatCode="_-* #,##0.00_-;\-* #,##0.00_-;_-* &quot;-&quot;??_-;_-@_-"/>
    <numFmt numFmtId="168" formatCode="0.00_)"/>
    <numFmt numFmtId="169" formatCode="&quot;ß&quot;#,##0.00_);\(&quot;ß&quot;#,##0.00\)"/>
    <numFmt numFmtId="170" formatCode="0.000"/>
    <numFmt numFmtId="171" formatCode="d/mm/yyyy;@"/>
    <numFmt numFmtId="172" formatCode="_-* #,##0.00_-;\-* #,##0.00_-;_-* \-??_-;_-@_-"/>
    <numFmt numFmtId="173" formatCode="_ * #,##0_ ;_ * \-#,##0_ ;_ * &quot;-&quot;??_ ;_ @_ "/>
    <numFmt numFmtId="174" formatCode="#,##0.00_ ;\-#,##0.00\ "/>
    <numFmt numFmtId="175" formatCode="_-* #,##0.00\ _F_-;\-* #,##0.00\ _F_-;_-* &quot;-&quot;??\ _F_-;_-@_-"/>
    <numFmt numFmtId="176" formatCode="_-* #,##0.00\ &quot;F&quot;_-;\-* #,##0.00\ &quot;F&quot;_-;_-* &quot;-&quot;??\ &quot;F&quot;_-;_-@_-"/>
    <numFmt numFmtId="177" formatCode="_([$€-2]* #,##0.00_);_([$€-2]* \(#,##0.00\);_([$€-2]* &quot;-&quot;??_)"/>
    <numFmt numFmtId="178" formatCode="0.0000%"/>
    <numFmt numFmtId="179" formatCode="_(* #,##0_);_(* \(#,##0\);_(* &quot;-&quot;??_);_(@_)"/>
    <numFmt numFmtId="180" formatCode="#,##0.00%;[Red]\(#,##0.00%\)"/>
    <numFmt numFmtId="181" formatCode="#####\ ##\ ##\ ###.00"/>
    <numFmt numFmtId="182" formatCode="##\ ##\ ##\ ##0_);\(##\ ##\ ##\ ##0\)"/>
    <numFmt numFmtId="183" formatCode="###\ ##\ ##\ ###.00_);\(###\ ##\ ##\ ###.00\)"/>
    <numFmt numFmtId="184" formatCode="_-* #,##0\ _F_-;\-* #,##0\ _F_-;_-* &quot;-&quot;\ _F_-;_-@_-"/>
    <numFmt numFmtId="185" formatCode="_-* #,##0\ &quot;F&quot;_-;\-* #,##0\ &quot;F&quot;_-;_-* &quot;-&quot;\ &quot;F&quot;_-;_-@_-"/>
    <numFmt numFmtId="186" formatCode="_-&quot;$&quot;* #,##0_-;\-&quot;$&quot;* #,##0_-;_-&quot;$&quot;* &quot;-&quot;??_-;_-@_-"/>
    <numFmt numFmtId="187" formatCode="#######0_);\(#######0\)"/>
    <numFmt numFmtId="188" formatCode="####\ ##\ #0_);\(####\ ##\ #0\)"/>
    <numFmt numFmtId="189" formatCode="&quot;\&quot;#,##0.00;[Red]&quot;\&quot;\-#,##0.00"/>
    <numFmt numFmtId="190" formatCode="&quot;\&quot;#,##0;[Red]&quot;\&quot;\-#,##0"/>
    <numFmt numFmtId="191" formatCode="_ * #,##0.000_ ;_ * \-#,##0.000_ ;_ * &quot;-&quot;??_ ;_ @_ "/>
    <numFmt numFmtId="192" formatCode="[$-409]d\-mmm\-yy;@"/>
    <numFmt numFmtId="193" formatCode="_(* #,##0.00000_);_(* \(#,##0.00000\);_(* &quot;-&quot;??_);_(@_)"/>
    <numFmt numFmtId="194" formatCode="_(* #,##0.000000_);_(* \(#,##0.000000\);_(* &quot;-&quot;??_);_(@_)"/>
    <numFmt numFmtId="195" formatCode="0.0%"/>
    <numFmt numFmtId="196" formatCode="_(* #,##0.000_);_(* \(#,##0.000\);_(* &quot;-&quot;??_);_(@_)"/>
    <numFmt numFmtId="197" formatCode="_(* #,##0.0000_);_(* \(#,##0.0000\);_(* &quot;-&quot;??_);_(@_)"/>
    <numFmt numFmtId="198" formatCode="_ * #,##0.0000_ ;_ * \-#,##0.0000_ ;_ * &quot;-&quot;??_ ;_ @_ "/>
    <numFmt numFmtId="199" formatCode="0.000%"/>
  </numFmts>
  <fonts count="12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Times New Roman"/>
      <family val="1"/>
    </font>
    <font>
      <b/>
      <sz val="11"/>
      <name val="Times New Roman"/>
      <family val="1"/>
    </font>
    <font>
      <sz val="10"/>
      <name val="Times New Roman"/>
      <family val="1"/>
    </font>
    <font>
      <b/>
      <sz val="11"/>
      <color indexed="8"/>
      <name val="Times New Roman"/>
      <family val="1"/>
    </font>
    <font>
      <b/>
      <sz val="12"/>
      <name val="Times New Roman"/>
      <family val="1"/>
    </font>
    <font>
      <b/>
      <sz val="14"/>
      <name val="Times New Roman"/>
      <family val="1"/>
    </font>
    <font>
      <sz val="11"/>
      <color indexed="9"/>
      <name val="Times New Roman"/>
      <family val="1"/>
    </font>
    <font>
      <sz val="11"/>
      <color indexed="13"/>
      <name val="Times New Roman"/>
      <family val="1"/>
    </font>
    <font>
      <sz val="11"/>
      <color indexed="50"/>
      <name val="Times New Roman"/>
      <family val="1"/>
    </font>
    <font>
      <sz val="12"/>
      <name val="Arial"/>
      <family val="2"/>
    </font>
    <font>
      <sz val="12"/>
      <name val="Times New Roman"/>
      <family val="1"/>
    </font>
    <font>
      <sz val="10"/>
      <name val="Arial"/>
      <family val="2"/>
    </font>
    <font>
      <b/>
      <sz val="11"/>
      <color indexed="13"/>
      <name val="Times New Roman"/>
      <family val="1"/>
    </font>
    <font>
      <sz val="12"/>
      <name val="Tms Rmn"/>
    </font>
    <font>
      <sz val="10"/>
      <name val="Helv"/>
    </font>
    <font>
      <sz val="8"/>
      <name val="Arial"/>
      <family val="2"/>
    </font>
    <font>
      <b/>
      <sz val="12"/>
      <name val="Arial"/>
      <family val="2"/>
    </font>
    <font>
      <sz val="7"/>
      <name val="Small Fonts"/>
      <family val="2"/>
    </font>
    <font>
      <b/>
      <i/>
      <sz val="16"/>
      <name val="Helv"/>
    </font>
    <font>
      <u/>
      <sz val="11"/>
      <name val="Times New Roman"/>
      <family val="1"/>
    </font>
    <font>
      <vertAlign val="superscript"/>
      <sz val="11"/>
      <name val="Times New Roman"/>
      <family val="1"/>
    </font>
    <font>
      <sz val="11"/>
      <name val="Arial"/>
      <family val="2"/>
    </font>
    <font>
      <sz val="11"/>
      <color indexed="8"/>
      <name val="Times New Roman"/>
      <family val="1"/>
    </font>
    <font>
      <b/>
      <sz val="11"/>
      <color indexed="9"/>
      <name val="Times New Roman"/>
      <family val="1"/>
    </font>
    <font>
      <sz val="11"/>
      <color theme="1"/>
      <name val="Calibri"/>
      <family val="2"/>
      <scheme val="minor"/>
    </font>
    <font>
      <b/>
      <sz val="11"/>
      <color theme="1"/>
      <name val="Times New Roman"/>
      <family val="1"/>
    </font>
    <font>
      <sz val="11"/>
      <color theme="1"/>
      <name val="Times New Roman"/>
      <family val="1"/>
    </font>
    <font>
      <sz val="11"/>
      <color indexed="8"/>
      <name val="Calibri"/>
      <family val="2"/>
    </font>
    <font>
      <sz val="11"/>
      <color theme="1"/>
      <name val="Calibri"/>
      <family val="2"/>
    </font>
    <font>
      <sz val="10"/>
      <name val="Times New Roman"/>
      <family val="1"/>
    </font>
    <font>
      <b/>
      <sz val="10"/>
      <name val="Arial"/>
      <family val="2"/>
    </font>
    <font>
      <i/>
      <sz val="11"/>
      <name val="Times New Roman"/>
      <family val="1"/>
    </font>
    <font>
      <b/>
      <sz val="11"/>
      <name val="Book Antiqua"/>
      <family val="1"/>
    </font>
    <font>
      <b/>
      <sz val="11"/>
      <color rgb="FF000000"/>
      <name val="Book Antiqua"/>
      <family val="1"/>
    </font>
    <font>
      <sz val="11"/>
      <name val="Book Antiqua"/>
      <family val="1"/>
    </font>
    <font>
      <sz val="11"/>
      <color rgb="FF000000"/>
      <name val="Book Antiqua"/>
      <family val="1"/>
    </font>
    <font>
      <b/>
      <u/>
      <sz val="11"/>
      <name val="Times New Roman"/>
      <family val="1"/>
    </font>
    <font>
      <i/>
      <sz val="11"/>
      <color theme="1"/>
      <name val="Times New Roman"/>
      <family val="1"/>
    </font>
    <font>
      <sz val="11"/>
      <color theme="1"/>
      <name val="Book Antiqua"/>
      <family val="1"/>
    </font>
    <font>
      <sz val="10"/>
      <name val="Arial"/>
      <family val="2"/>
    </font>
    <font>
      <sz val="10"/>
      <name val="Book Antiqua"/>
      <family val="1"/>
    </font>
    <font>
      <b/>
      <sz val="10"/>
      <name val="Book Antiqua"/>
      <family val="1"/>
    </font>
    <font>
      <sz val="10"/>
      <color theme="1"/>
      <name val="Book Antiqua"/>
      <family val="1"/>
    </font>
    <font>
      <b/>
      <sz val="10"/>
      <color theme="1"/>
      <name val="Book Antiqua"/>
      <family val="1"/>
    </font>
    <font>
      <b/>
      <sz val="9"/>
      <color indexed="81"/>
      <name val="Tahoma"/>
      <family val="2"/>
    </font>
    <font>
      <sz val="9"/>
      <color indexed="81"/>
      <name val="Tahoma"/>
      <family val="2"/>
    </font>
    <font>
      <sz val="10"/>
      <name val="Courier"/>
      <family val="3"/>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Century Gothic"/>
      <family val="2"/>
    </font>
    <font>
      <sz val="12"/>
      <name val="Helv"/>
    </font>
    <font>
      <sz val="11"/>
      <color indexed="8"/>
      <name val="Arial"/>
      <family val="2"/>
    </font>
    <font>
      <sz val="11"/>
      <color indexed="8"/>
      <name val="Calibri"/>
      <family val="2"/>
      <charset val="1"/>
    </font>
    <font>
      <i/>
      <sz val="11"/>
      <color indexed="23"/>
      <name val="Calibri"/>
      <family val="2"/>
    </font>
    <font>
      <b/>
      <sz val="12"/>
      <color indexed="53"/>
      <name val="Times New Roman"/>
      <family val="1"/>
    </font>
    <font>
      <sz val="11"/>
      <color indexed="17"/>
      <name val="Calibri"/>
      <family val="2"/>
    </font>
    <font>
      <b/>
      <sz val="12"/>
      <color indexed="9"/>
      <name val="Times New Roman"/>
      <family val="1"/>
    </font>
    <font>
      <b/>
      <sz val="12"/>
      <name val="Helv"/>
    </font>
    <font>
      <b/>
      <sz val="15"/>
      <color indexed="56"/>
      <name val="Calibri"/>
      <family val="2"/>
    </font>
    <font>
      <b/>
      <sz val="13"/>
      <color indexed="56"/>
      <name val="Calibri"/>
      <family val="2"/>
    </font>
    <font>
      <b/>
      <sz val="11"/>
      <color indexed="56"/>
      <name val="Calibri"/>
      <family val="2"/>
    </font>
    <font>
      <u/>
      <sz val="10"/>
      <color theme="10"/>
      <name val="Arial"/>
      <family val="2"/>
    </font>
    <font>
      <u/>
      <sz val="7.2"/>
      <color indexed="12"/>
      <name val="Arial"/>
      <family val="2"/>
    </font>
    <font>
      <sz val="11"/>
      <color indexed="62"/>
      <name val="Calibri"/>
      <family val="2"/>
    </font>
    <font>
      <b/>
      <sz val="14"/>
      <name val="Helv"/>
    </font>
    <font>
      <sz val="11"/>
      <color indexed="52"/>
      <name val="Calibri"/>
      <family val="2"/>
    </font>
    <font>
      <sz val="11"/>
      <color indexed="60"/>
      <name val="Calibri"/>
      <family val="2"/>
    </font>
    <font>
      <sz val="12"/>
      <name val="Courier"/>
      <family val="3"/>
    </font>
    <font>
      <sz val="11"/>
      <name val="Palatino Linotype"/>
      <family val="1"/>
    </font>
    <font>
      <sz val="10"/>
      <color rgb="FFFF0000"/>
      <name val="Calibri"/>
      <family val="2"/>
      <scheme val="minor"/>
    </font>
    <font>
      <b/>
      <sz val="11"/>
      <color indexed="63"/>
      <name val="Calibri"/>
      <family val="2"/>
    </font>
    <font>
      <b/>
      <i/>
      <u/>
      <sz val="10"/>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sz val="10"/>
      <name val="MS Sans Serif"/>
      <family val="2"/>
    </font>
    <font>
      <b/>
      <i/>
      <sz val="10"/>
      <color indexed="12"/>
      <name val="Arial"/>
      <family val="2"/>
    </font>
    <font>
      <sz val="24"/>
      <color indexed="13"/>
      <name val="Helv"/>
    </font>
    <font>
      <b/>
      <sz val="18"/>
      <color indexed="56"/>
      <name val="Cambria"/>
      <family val="2"/>
    </font>
    <font>
      <b/>
      <sz val="11"/>
      <color indexed="8"/>
      <name val="Calibri"/>
      <family val="2"/>
    </font>
    <font>
      <sz val="10"/>
      <name val="Calibri"/>
      <family val="2"/>
      <scheme val="minor"/>
    </font>
    <font>
      <sz val="11"/>
      <color indexed="10"/>
      <name val="Calibri"/>
      <family val="2"/>
    </font>
    <font>
      <sz val="12"/>
      <name val="뼻뮝"/>
      <family val="3"/>
      <charset val="129"/>
    </font>
    <font>
      <sz val="12"/>
      <name val="바탕체"/>
      <family val="1"/>
      <charset val="129"/>
    </font>
    <font>
      <sz val="12"/>
      <name val="宋体"/>
      <charset val="134"/>
    </font>
    <font>
      <sz val="11"/>
      <color indexed="8"/>
      <name val="Calibri"/>
      <family val="3"/>
      <charset val="134"/>
    </font>
    <font>
      <sz val="11"/>
      <name val="ＭＳ 明朝"/>
      <family val="1"/>
      <charset val="128"/>
    </font>
    <font>
      <sz val="10"/>
      <name val="ＭＳ ゴシック"/>
      <family val="3"/>
      <charset val="128"/>
    </font>
    <font>
      <vertAlign val="superscript"/>
      <sz val="12"/>
      <name val="Times New Roman"/>
      <family val="1"/>
    </font>
    <font>
      <vertAlign val="superscript"/>
      <sz val="16"/>
      <name val="Times New Roman"/>
      <family val="1"/>
    </font>
    <font>
      <b/>
      <vertAlign val="superscript"/>
      <sz val="11"/>
      <name val="Times New Roman"/>
      <family val="1"/>
    </font>
    <font>
      <sz val="12"/>
      <color theme="1"/>
      <name val="Times New Roman"/>
      <family val="1"/>
    </font>
    <font>
      <b/>
      <sz val="12"/>
      <color theme="1"/>
      <name val="Times New Roman"/>
      <family val="1"/>
    </font>
    <font>
      <b/>
      <i/>
      <sz val="12"/>
      <name val="Times New Roman"/>
      <family val="1"/>
    </font>
    <font>
      <i/>
      <sz val="12"/>
      <name val="Times New Roman"/>
      <family val="1"/>
    </font>
    <font>
      <b/>
      <sz val="12"/>
      <color rgb="FF000000"/>
      <name val="Times New Roman"/>
      <family val="1"/>
    </font>
    <font>
      <sz val="12"/>
      <color rgb="FF000000"/>
      <name val="Times New Roman"/>
      <family val="1"/>
    </font>
    <font>
      <i/>
      <sz val="12"/>
      <color rgb="FF000000"/>
      <name val="Times New Roman"/>
      <family val="1"/>
    </font>
    <font>
      <b/>
      <sz val="18"/>
      <name val="Times New Roman"/>
      <family val="1"/>
    </font>
    <font>
      <b/>
      <sz val="11"/>
      <name val="Arial"/>
      <family val="2"/>
    </font>
    <font>
      <b/>
      <sz val="11"/>
      <color theme="1"/>
      <name val="Calibri"/>
      <family val="2"/>
      <scheme val="minor"/>
    </font>
    <font>
      <b/>
      <sz val="11"/>
      <name val="Calibri"/>
      <family val="2"/>
      <scheme val="minor"/>
    </font>
    <font>
      <sz val="11"/>
      <name val="Calibri"/>
      <family val="2"/>
      <scheme val="minor"/>
    </font>
    <font>
      <b/>
      <sz val="11"/>
      <color rgb="FF000000"/>
      <name val="Calibri"/>
      <family val="2"/>
    </font>
    <font>
      <sz val="11"/>
      <color rgb="FF000000"/>
      <name val="Calibri"/>
      <family val="2"/>
    </font>
    <font>
      <b/>
      <sz val="11"/>
      <color theme="1"/>
      <name val="Book Antiqua"/>
      <family val="1"/>
    </font>
    <font>
      <sz val="11"/>
      <color indexed="8"/>
      <name val="Calibri"/>
      <family val="2"/>
      <charset val="134"/>
    </font>
    <font>
      <sz val="11"/>
      <color rgb="FF000000"/>
      <name val="Calibri"/>
      <family val="2"/>
      <scheme val="minor"/>
    </font>
    <font>
      <b/>
      <sz val="11"/>
      <color rgb="FFFF0000"/>
      <name val="Book Antiqua"/>
      <family val="1"/>
    </font>
    <font>
      <i/>
      <sz val="11"/>
      <color theme="1"/>
      <name val="Book Antiqua"/>
      <family val="1"/>
    </font>
    <font>
      <b/>
      <sz val="10"/>
      <color rgb="FFFF0000"/>
      <name val="Book Antiqua"/>
      <family val="1"/>
    </font>
    <font>
      <i/>
      <sz val="10"/>
      <name val="Book Antiqua"/>
      <family val="1"/>
    </font>
    <font>
      <i/>
      <sz val="12"/>
      <color theme="1"/>
      <name val="Times New Roman"/>
      <family val="1"/>
    </font>
    <font>
      <sz val="11"/>
      <name val="Arial"/>
      <family val="2"/>
    </font>
  </fonts>
  <fills count="7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indexed="65"/>
        <bgColor indexed="64"/>
      </patternFill>
    </fill>
    <fill>
      <patternFill patternType="solid">
        <fgColor rgb="FFFFCC99"/>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4"/>
        <bgColor indexed="64"/>
      </patternFill>
    </fill>
    <fill>
      <patternFill patternType="solid">
        <fgColor indexed="55"/>
      </patternFill>
    </fill>
    <fill>
      <patternFill patternType="solid">
        <fgColor indexed="18"/>
        <bgColor indexed="64"/>
      </patternFill>
    </fill>
    <fill>
      <patternFill patternType="solid">
        <fgColor indexed="13"/>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2"/>
      </patternFill>
    </fill>
    <fill>
      <patternFill patternType="solid">
        <fgColor rgb="FFFFFF9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DBE5F1"/>
        <bgColor indexed="64"/>
      </patternFill>
    </fill>
    <fill>
      <patternFill patternType="solid">
        <fgColor rgb="FFFF0000"/>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CD5B4"/>
        <bgColor rgb="FF000000"/>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C000"/>
        <bgColor indexed="64"/>
      </patternFill>
    </fill>
    <fill>
      <patternFill patternType="solid">
        <fgColor rgb="FFF4B083"/>
        <bgColor indexed="64"/>
      </patternFill>
    </fill>
  </fills>
  <borders count="38">
    <border>
      <left/>
      <right/>
      <top/>
      <bottom/>
      <diagonal/>
    </border>
    <border>
      <left/>
      <right style="thin">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medium">
        <color indexed="64"/>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style="medium">
        <color indexed="64"/>
      </top>
      <bottom/>
      <diagonal/>
    </border>
    <border>
      <left/>
      <right style="medium">
        <color indexed="64"/>
      </right>
      <top/>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559">
    <xf numFmtId="0" fontId="0" fillId="0" borderId="0"/>
    <xf numFmtId="0" fontId="21" fillId="0" borderId="0" applyNumberFormat="0" applyFill="0" applyBorder="0" applyAlignment="0" applyProtection="0"/>
    <xf numFmtId="0" fontId="22" fillId="0" borderId="1"/>
    <xf numFmtId="0" fontId="22" fillId="0" borderId="1"/>
    <xf numFmtId="38" fontId="23" fillId="2" borderId="0" applyNumberFormat="0" applyBorder="0" applyAlignment="0" applyProtection="0"/>
    <xf numFmtId="0" fontId="24" fillId="0" borderId="2" applyNumberFormat="0" applyAlignment="0" applyProtection="0">
      <alignment horizontal="left" vertical="center"/>
    </xf>
    <xf numFmtId="0" fontId="24" fillId="0" borderId="3">
      <alignment horizontal="left" vertical="center"/>
    </xf>
    <xf numFmtId="10" fontId="23" fillId="3" borderId="4" applyNumberFormat="0" applyBorder="0" applyAlignment="0" applyProtection="0"/>
    <xf numFmtId="37" fontId="25" fillId="0" borderId="0"/>
    <xf numFmtId="168" fontId="26" fillId="0" borderId="0"/>
    <xf numFmtId="0" fontId="19" fillId="0" borderId="0"/>
    <xf numFmtId="0" fontId="19" fillId="0" borderId="0"/>
    <xf numFmtId="0" fontId="10" fillId="0" borderId="0"/>
    <xf numFmtId="0" fontId="10" fillId="0" borderId="0"/>
    <xf numFmtId="0" fontId="19" fillId="0" borderId="0">
      <alignment vertical="center"/>
    </xf>
    <xf numFmtId="0" fontId="19" fillId="0" borderId="0">
      <alignment vertical="center"/>
    </xf>
    <xf numFmtId="169" fontId="19" fillId="0" borderId="0" applyFont="0" applyFill="0" applyBorder="0" applyAlignment="0" applyProtection="0"/>
    <xf numFmtId="10" fontId="19" fillId="0" borderId="0" applyFont="0" applyFill="0" applyBorder="0" applyAlignment="0" applyProtection="0"/>
    <xf numFmtId="0" fontId="19" fillId="0" borderId="0"/>
    <xf numFmtId="0" fontId="32" fillId="0" borderId="0"/>
    <xf numFmtId="166" fontId="32" fillId="0" borderId="0" applyFont="0" applyFill="0" applyBorder="0" applyAlignment="0" applyProtection="0"/>
    <xf numFmtId="9" fontId="32" fillId="0" borderId="0" applyFont="0" applyFill="0" applyBorder="0" applyAlignment="0" applyProtection="0"/>
    <xf numFmtId="167" fontId="35" fillId="0" borderId="0" applyFont="0" applyFill="0" applyBorder="0" applyAlignment="0" applyProtection="0"/>
    <xf numFmtId="0" fontId="36" fillId="0" borderId="0"/>
    <xf numFmtId="9" fontId="35" fillId="0" borderId="0" applyFont="0" applyFill="0" applyBorder="0" applyAlignment="0" applyProtection="0"/>
    <xf numFmtId="0" fontId="37" fillId="0" borderId="0"/>
    <xf numFmtId="166" fontId="19" fillId="0" borderId="0" applyFont="0" applyFill="0" applyBorder="0" applyAlignment="0" applyProtection="0"/>
    <xf numFmtId="0" fontId="19" fillId="0" borderId="0"/>
    <xf numFmtId="0" fontId="10" fillId="0" borderId="0"/>
    <xf numFmtId="0" fontId="10" fillId="0" borderId="0"/>
    <xf numFmtId="0" fontId="10" fillId="0" borderId="0"/>
    <xf numFmtId="0" fontId="10" fillId="0" borderId="0"/>
    <xf numFmtId="0" fontId="10" fillId="0" borderId="0"/>
    <xf numFmtId="0" fontId="19" fillId="0" borderId="0"/>
    <xf numFmtId="0" fontId="19" fillId="0" borderId="0">
      <alignment vertical="center"/>
    </xf>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19" fillId="0" borderId="0" applyFont="0" applyFill="0" applyBorder="0" applyAlignment="0" applyProtection="0"/>
    <xf numFmtId="43" fontId="35"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35"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9" fillId="0" borderId="0" applyFont="0" applyFill="0" applyBorder="0" applyAlignment="0" applyProtection="0"/>
    <xf numFmtId="9" fontId="35" fillId="0" borderId="0" applyFont="0" applyFill="0" applyBorder="0" applyAlignment="0" applyProtection="0"/>
    <xf numFmtId="0" fontId="19" fillId="0" borderId="0" applyBorder="0" applyProtection="0"/>
    <xf numFmtId="169" fontId="35" fillId="0" borderId="0" applyFont="0" applyFill="0" applyBorder="0" applyAlignment="0" applyProtection="0"/>
    <xf numFmtId="0" fontId="19" fillId="0" borderId="0"/>
    <xf numFmtId="0" fontId="19" fillId="0" borderId="0"/>
    <xf numFmtId="0" fontId="19" fillId="0" borderId="0"/>
    <xf numFmtId="9" fontId="19" fillId="0" borderId="0" applyFont="0" applyFill="0" applyBorder="0" applyAlignment="0" applyProtection="0"/>
    <xf numFmtId="0" fontId="19" fillId="0" borderId="0">
      <alignment vertical="center"/>
    </xf>
    <xf numFmtId="166" fontId="47" fillId="0" borderId="0" applyFont="0" applyFill="0" applyBorder="0" applyAlignment="0" applyProtection="0"/>
    <xf numFmtId="9" fontId="47" fillId="0" borderId="0" applyFont="0" applyFill="0" applyBorder="0" applyAlignment="0" applyProtection="0"/>
    <xf numFmtId="0" fontId="7" fillId="0" borderId="0"/>
    <xf numFmtId="0" fontId="19" fillId="0" borderId="0"/>
    <xf numFmtId="0" fontId="19" fillId="0" borderId="0"/>
    <xf numFmtId="0" fontId="19" fillId="0" borderId="0"/>
    <xf numFmtId="168" fontId="54" fillId="0" borderId="0"/>
    <xf numFmtId="0" fontId="19" fillId="0" borderId="0" applyNumberFormat="0" applyFill="0" applyBorder="0" applyAlignment="0" applyProtection="0"/>
    <xf numFmtId="0" fontId="35" fillId="0" borderId="0" applyNumberFormat="0" applyFill="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7" fillId="34" borderId="15" applyNumberFormat="0" applyAlignment="0" applyProtection="0"/>
    <xf numFmtId="0" fontId="57" fillId="34" borderId="15" applyNumberFormat="0" applyAlignment="0" applyProtection="0"/>
    <xf numFmtId="166" fontId="18" fillId="35" borderId="16" applyNumberFormat="0" applyFont="0" applyAlignment="0"/>
    <xf numFmtId="166" fontId="18" fillId="35" borderId="16" applyNumberFormat="0" applyFont="0" applyAlignment="0"/>
    <xf numFmtId="166" fontId="18" fillId="35" borderId="16" applyNumberFormat="0" applyFont="0" applyAlignment="0"/>
    <xf numFmtId="166" fontId="18" fillId="35" borderId="16" applyNumberFormat="0" applyFont="0" applyAlignment="0"/>
    <xf numFmtId="166" fontId="18" fillId="35" borderId="16" applyNumberFormat="0" applyFont="0" applyAlignment="0"/>
    <xf numFmtId="166" fontId="18" fillId="35" borderId="16" applyNumberFormat="0" applyFont="0" applyAlignment="0"/>
    <xf numFmtId="0" fontId="58" fillId="36" borderId="17" applyNumberFormat="0" applyAlignment="0" applyProtection="0"/>
    <xf numFmtId="0" fontId="58" fillId="36" borderId="17" applyNumberFormat="0" applyAlignment="0" applyProtection="0"/>
    <xf numFmtId="171" fontId="7" fillId="0" borderId="0" applyFont="0" applyFill="0" applyBorder="0" applyAlignment="0" applyProtection="0"/>
    <xf numFmtId="166" fontId="19" fillId="0" borderId="0" applyFont="0" applyFill="0" applyBorder="0" applyAlignment="0" applyProtection="0"/>
    <xf numFmtId="166" fontId="7" fillId="0" borderId="0" applyFont="0" applyFill="0" applyBorder="0" applyAlignment="0" applyProtection="0"/>
    <xf numFmtId="166" fontId="23" fillId="0" borderId="0" applyFont="0" applyFill="0" applyBorder="0" applyAlignment="0" applyProtection="0"/>
    <xf numFmtId="166" fontId="19" fillId="0" borderId="0" applyFont="0" applyFill="0" applyBorder="0" applyAlignment="0" applyProtection="0"/>
    <xf numFmtId="166" fontId="23" fillId="0" borderId="0" applyFont="0" applyFill="0" applyBorder="0" applyAlignment="0" applyProtection="0"/>
    <xf numFmtId="165" fontId="19" fillId="0" borderId="0" applyFill="0" applyBorder="0" applyAlignment="0" applyProtection="0"/>
    <xf numFmtId="165" fontId="19" fillId="0" borderId="0" applyFill="0" applyBorder="0" applyAlignment="0" applyProtection="0"/>
    <xf numFmtId="172" fontId="19" fillId="0" borderId="0" applyFont="0" applyFill="0" applyBorder="0" applyAlignment="0" applyProtection="0"/>
    <xf numFmtId="166" fontId="19" fillId="0" borderId="0" applyFont="0" applyFill="0" applyBorder="0" applyAlignment="0" applyProtection="0"/>
    <xf numFmtId="172"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3" fontId="35"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73" fontId="7"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19" fillId="0" borderId="0" applyFont="0" applyFill="0" applyBorder="0" applyAlignment="0" applyProtection="0"/>
    <xf numFmtId="174" fontId="19" fillId="0" borderId="0" applyFill="0" applyBorder="0" applyAlignment="0" applyProtection="0"/>
    <xf numFmtId="166" fontId="19" fillId="0" borderId="0" applyFont="0" applyFill="0" applyBorder="0" applyAlignment="0" applyProtection="0"/>
    <xf numFmtId="175" fontId="19" fillId="0" borderId="0" applyFont="0" applyFill="0" applyBorder="0" applyAlignment="0" applyProtection="0"/>
    <xf numFmtId="173"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66" fontId="5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19" fillId="0" borderId="0" applyFont="0" applyFill="0" applyBorder="0" applyAlignment="0" applyProtection="0"/>
    <xf numFmtId="0" fontId="22" fillId="0" borderId="0"/>
    <xf numFmtId="0" fontId="22"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0" fontId="60" fillId="0" borderId="0"/>
    <xf numFmtId="0" fontId="60" fillId="0" borderId="18"/>
    <xf numFmtId="15" fontId="42" fillId="0" borderId="19"/>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0" fontId="61" fillId="0" borderId="0"/>
    <xf numFmtId="0" fontId="35" fillId="0" borderId="0"/>
    <xf numFmtId="0" fontId="62" fillId="0" borderId="0"/>
    <xf numFmtId="0" fontId="63" fillId="0" borderId="0" applyNumberFormat="0" applyFill="0" applyBorder="0" applyAlignment="0" applyProtection="0"/>
    <xf numFmtId="0" fontId="63" fillId="0" borderId="0" applyNumberFormat="0" applyFill="0" applyBorder="0" applyAlignment="0" applyProtection="0"/>
    <xf numFmtId="178" fontId="19" fillId="0" borderId="0">
      <protection locked="0"/>
    </xf>
    <xf numFmtId="0" fontId="22" fillId="0" borderId="0"/>
    <xf numFmtId="0" fontId="10" fillId="0" borderId="20" applyNumberFormat="0" applyFill="0" applyBorder="0" applyAlignment="0" applyProtection="0">
      <protection locked="0"/>
    </xf>
    <xf numFmtId="37" fontId="64" fillId="3" borderId="19" applyNumberFormat="0" applyBorder="0">
      <alignment horizontal="center"/>
    </xf>
    <xf numFmtId="179" fontId="42" fillId="0" borderId="0" applyNumberFormat="0" applyFont="0" applyFill="0" applyBorder="0" applyAlignment="0">
      <alignment horizontal="centerContinuous"/>
    </xf>
    <xf numFmtId="0" fontId="65" fillId="18" borderId="0" applyNumberFormat="0" applyBorder="0" applyAlignment="0" applyProtection="0"/>
    <xf numFmtId="0" fontId="65" fillId="18" borderId="0" applyNumberFormat="0" applyBorder="0" applyAlignment="0" applyProtection="0"/>
    <xf numFmtId="0" fontId="12" fillId="4" borderId="21" applyNumberFormat="0" applyAlignment="0"/>
    <xf numFmtId="0" fontId="66" fillId="37" borderId="0" applyNumberFormat="0" applyAlignment="0"/>
    <xf numFmtId="0" fontId="67" fillId="0" borderId="0"/>
    <xf numFmtId="0" fontId="68" fillId="0" borderId="22" applyNumberFormat="0" applyFill="0" applyAlignment="0" applyProtection="0"/>
    <xf numFmtId="0" fontId="68" fillId="0" borderId="22" applyNumberFormat="0" applyFill="0" applyAlignment="0" applyProtection="0"/>
    <xf numFmtId="0" fontId="69" fillId="0" borderId="23" applyNumberFormat="0" applyFill="0" applyAlignment="0" applyProtection="0"/>
    <xf numFmtId="0" fontId="69" fillId="0" borderId="23"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180" fontId="19" fillId="0" borderId="0">
      <protection locked="0"/>
    </xf>
    <xf numFmtId="180" fontId="19" fillId="0" borderId="0">
      <protection locked="0"/>
    </xf>
    <xf numFmtId="0" fontId="71"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181" fontId="19" fillId="0" borderId="0" applyFont="0" applyFill="0" applyBorder="0" applyAlignment="0" applyProtection="0"/>
    <xf numFmtId="0" fontId="73" fillId="21" borderId="15" applyNumberFormat="0" applyAlignment="0" applyProtection="0"/>
    <xf numFmtId="0" fontId="73" fillId="21" borderId="15" applyNumberFormat="0" applyAlignment="0" applyProtection="0"/>
    <xf numFmtId="182" fontId="29" fillId="0" borderId="0"/>
    <xf numFmtId="183" fontId="19" fillId="0" borderId="0"/>
    <xf numFmtId="182" fontId="29" fillId="0" borderId="0" applyFont="0" applyFill="0" applyBorder="0" applyAlignment="0" applyProtection="0"/>
    <xf numFmtId="39" fontId="29" fillId="0" borderId="9"/>
    <xf numFmtId="0" fontId="74" fillId="38" borderId="18"/>
    <xf numFmtId="0" fontId="75" fillId="0" borderId="25" applyNumberFormat="0" applyFill="0" applyAlignment="0" applyProtection="0"/>
    <xf numFmtId="0" fontId="75" fillId="0" borderId="25" applyNumberFormat="0" applyFill="0" applyAlignment="0" applyProtection="0"/>
    <xf numFmtId="0" fontId="19" fillId="0" borderId="0" applyFont="0" applyFill="0" applyBorder="0" applyAlignment="0" applyProtection="0"/>
    <xf numFmtId="0" fontId="19" fillId="0" borderId="0" applyFont="0" applyFill="0" applyBorder="0" applyAlignment="0" applyProtection="0"/>
    <xf numFmtId="184" fontId="19" fillId="0" borderId="0" applyFont="0" applyFill="0" applyBorder="0" applyAlignment="0" applyProtection="0"/>
    <xf numFmtId="175"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85" fontId="19" fillId="0" borderId="0" applyFont="0" applyFill="0" applyBorder="0" applyAlignment="0" applyProtection="0"/>
    <xf numFmtId="176" fontId="19" fillId="0" borderId="0" applyFont="0" applyFill="0" applyBorder="0" applyAlignment="0" applyProtection="0"/>
    <xf numFmtId="0" fontId="76" fillId="39" borderId="0" applyNumberFormat="0" applyBorder="0" applyAlignment="0" applyProtection="0"/>
    <xf numFmtId="0" fontId="76" fillId="39" borderId="0" applyNumberFormat="0" applyBorder="0" applyAlignment="0" applyProtection="0"/>
    <xf numFmtId="37" fontId="25" fillId="0" borderId="0"/>
    <xf numFmtId="37" fontId="25" fillId="0" borderId="0"/>
    <xf numFmtId="37" fontId="25" fillId="0" borderId="0"/>
    <xf numFmtId="37" fontId="25" fillId="0" borderId="0"/>
    <xf numFmtId="37" fontId="25" fillId="0" borderId="0"/>
    <xf numFmtId="0" fontId="19" fillId="0" borderId="0"/>
    <xf numFmtId="0" fontId="19" fillId="0" borderId="0"/>
    <xf numFmtId="0" fontId="19" fillId="0" borderId="0"/>
    <xf numFmtId="0" fontId="19" fillId="0" borderId="0"/>
    <xf numFmtId="0" fontId="19" fillId="0" borderId="0" applyBorder="0"/>
    <xf numFmtId="186" fontId="10" fillId="0" borderId="0"/>
    <xf numFmtId="186" fontId="10" fillId="0" borderId="0"/>
    <xf numFmtId="186" fontId="10" fillId="0" borderId="0"/>
    <xf numFmtId="186" fontId="10" fillId="0" borderId="0"/>
    <xf numFmtId="186" fontId="10"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xf numFmtId="0" fontId="7" fillId="0" borderId="0"/>
    <xf numFmtId="0" fontId="7" fillId="0" borderId="0"/>
    <xf numFmtId="0" fontId="7" fillId="0" borderId="0"/>
    <xf numFmtId="0" fontId="7" fillId="0" borderId="0"/>
    <xf numFmtId="0" fontId="19" fillId="0" borderId="0"/>
    <xf numFmtId="0" fontId="7" fillId="0" borderId="0"/>
    <xf numFmtId="0" fontId="19" fillId="0" borderId="0"/>
    <xf numFmtId="0" fontId="19" fillId="0" borderId="0"/>
    <xf numFmtId="0" fontId="19" fillId="0" borderId="0"/>
    <xf numFmtId="0" fontId="23" fillId="0" borderId="0"/>
    <xf numFmtId="0" fontId="23" fillId="0" borderId="0"/>
    <xf numFmtId="0" fontId="19" fillId="0" borderId="0"/>
    <xf numFmtId="0" fontId="19" fillId="0" borderId="0"/>
    <xf numFmtId="0" fontId="54" fillId="0" borderId="0"/>
    <xf numFmtId="0" fontId="35" fillId="0" borderId="0"/>
    <xf numFmtId="0" fontId="19" fillId="0" borderId="0"/>
    <xf numFmtId="0" fontId="19" fillId="0" borderId="0"/>
    <xf numFmtId="0" fontId="7" fillId="0" borderId="0"/>
    <xf numFmtId="0" fontId="19" fillId="0" borderId="0"/>
    <xf numFmtId="0" fontId="1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77" fillId="0" borderId="0"/>
    <xf numFmtId="0" fontId="77" fillId="0" borderId="0"/>
    <xf numFmtId="0" fontId="7" fillId="0" borderId="0"/>
    <xf numFmtId="0" fontId="7" fillId="0" borderId="0"/>
    <xf numFmtId="0" fontId="19" fillId="0" borderId="0"/>
    <xf numFmtId="0" fontId="19" fillId="0" borderId="0"/>
    <xf numFmtId="0" fontId="7" fillId="0" borderId="0"/>
    <xf numFmtId="0" fontId="19" fillId="0" borderId="0"/>
    <xf numFmtId="0" fontId="19" fillId="0" borderId="0"/>
    <xf numFmtId="0" fontId="19" fillId="0" borderId="0"/>
    <xf numFmtId="0" fontId="19"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xf numFmtId="0" fontId="19" fillId="0" borderId="0"/>
    <xf numFmtId="0" fontId="54"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xf numFmtId="0" fontId="19" fillId="0" borderId="0"/>
    <xf numFmtId="0" fontId="19" fillId="0" borderId="0"/>
    <xf numFmtId="0" fontId="19" fillId="0" borderId="0"/>
    <xf numFmtId="0" fontId="19" fillId="0" borderId="0"/>
    <xf numFmtId="0" fontId="19"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Border="0"/>
    <xf numFmtId="0" fontId="35" fillId="40" borderId="26" applyNumberFormat="0" applyFont="0" applyAlignment="0" applyProtection="0"/>
    <xf numFmtId="0" fontId="78" fillId="40" borderId="26" applyNumberFormat="0" applyFont="0" applyAlignment="0" applyProtection="0"/>
    <xf numFmtId="1" fontId="19" fillId="0" borderId="0" applyFont="0"/>
    <xf numFmtId="179" fontId="79" fillId="0" borderId="4"/>
    <xf numFmtId="0" fontId="80" fillId="34" borderId="27" applyNumberFormat="0" applyAlignment="0" applyProtection="0"/>
    <xf numFmtId="0" fontId="80" fillId="34" borderId="27" applyNumberFormat="0" applyAlignment="0" applyProtection="0"/>
    <xf numFmtId="0" fontId="22" fillId="0" borderId="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9" fontId="19" fillId="0" borderId="0" applyFill="0" applyBorder="0" applyAlignment="0" applyProtection="0"/>
    <xf numFmtId="9" fontId="3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60" fillId="0" borderId="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9" fillId="0" borderId="0"/>
    <xf numFmtId="187" fontId="19" fillId="0" borderId="0">
      <alignment horizontal="right"/>
    </xf>
    <xf numFmtId="188" fontId="29" fillId="0" borderId="10" applyFont="0" applyFill="0" applyBorder="0" applyAlignment="0" applyProtection="0"/>
    <xf numFmtId="4" fontId="82" fillId="41" borderId="27" applyNumberFormat="0" applyProtection="0">
      <alignment vertical="center"/>
    </xf>
    <xf numFmtId="4" fontId="83" fillId="41" borderId="27" applyNumberFormat="0" applyProtection="0">
      <alignment vertical="center"/>
    </xf>
    <xf numFmtId="4" fontId="82" fillId="41" borderId="27" applyNumberFormat="0" applyProtection="0">
      <alignment horizontal="left" vertical="center" indent="1"/>
    </xf>
    <xf numFmtId="4" fontId="82" fillId="41" borderId="27" applyNumberFormat="0" applyProtection="0">
      <alignment horizontal="left" vertical="center" indent="1"/>
    </xf>
    <xf numFmtId="0" fontId="19" fillId="42" borderId="27" applyNumberFormat="0" applyProtection="0">
      <alignment horizontal="left" vertical="center" indent="1"/>
    </xf>
    <xf numFmtId="4" fontId="82" fillId="43" borderId="27" applyNumberFormat="0" applyProtection="0">
      <alignment horizontal="right" vertical="center"/>
    </xf>
    <xf numFmtId="4" fontId="82" fillId="44" borderId="27" applyNumberFormat="0" applyProtection="0">
      <alignment horizontal="right" vertical="center"/>
    </xf>
    <xf numFmtId="4" fontId="82" fillId="45" borderId="27" applyNumberFormat="0" applyProtection="0">
      <alignment horizontal="right" vertical="center"/>
    </xf>
    <xf numFmtId="4" fontId="82" fillId="46" borderId="27" applyNumberFormat="0" applyProtection="0">
      <alignment horizontal="right" vertical="center"/>
    </xf>
    <xf numFmtId="4" fontId="82" fillId="47" borderId="27" applyNumberFormat="0" applyProtection="0">
      <alignment horizontal="right" vertical="center"/>
    </xf>
    <xf numFmtId="4" fontId="82" fillId="48" borderId="27" applyNumberFormat="0" applyProtection="0">
      <alignment horizontal="right" vertical="center"/>
    </xf>
    <xf numFmtId="4" fontId="82" fillId="49" borderId="27" applyNumberFormat="0" applyProtection="0">
      <alignment horizontal="right" vertical="center"/>
    </xf>
    <xf numFmtId="4" fontId="82" fillId="50" borderId="27" applyNumberFormat="0" applyProtection="0">
      <alignment horizontal="right" vertical="center"/>
    </xf>
    <xf numFmtId="4" fontId="82" fillId="51" borderId="27" applyNumberFormat="0" applyProtection="0">
      <alignment horizontal="right" vertical="center"/>
    </xf>
    <xf numFmtId="4" fontId="84" fillId="52" borderId="27" applyNumberFormat="0" applyProtection="0">
      <alignment horizontal="left" vertical="center" indent="1"/>
    </xf>
    <xf numFmtId="4" fontId="82" fillId="53" borderId="28" applyNumberFormat="0" applyProtection="0">
      <alignment horizontal="left" vertical="center" indent="1"/>
    </xf>
    <xf numFmtId="4" fontId="85" fillId="54" borderId="0" applyNumberFormat="0" applyProtection="0">
      <alignment horizontal="left" vertical="center" indent="1"/>
    </xf>
    <xf numFmtId="0" fontId="19" fillId="42" borderId="27" applyNumberFormat="0" applyProtection="0">
      <alignment horizontal="left" vertical="center" indent="1"/>
    </xf>
    <xf numFmtId="4" fontId="82" fillId="53" borderId="27" applyNumberFormat="0" applyProtection="0">
      <alignment horizontal="left" vertical="center" indent="1"/>
    </xf>
    <xf numFmtId="4" fontId="82" fillId="55" borderId="27" applyNumberFormat="0" applyProtection="0">
      <alignment horizontal="left" vertical="center" indent="1"/>
    </xf>
    <xf numFmtId="0" fontId="19" fillId="55" borderId="27" applyNumberFormat="0" applyProtection="0">
      <alignment horizontal="left" vertical="center" indent="1"/>
    </xf>
    <xf numFmtId="0" fontId="19" fillId="55" borderId="27" applyNumberFormat="0" applyProtection="0">
      <alignment horizontal="left" vertical="center" indent="1"/>
    </xf>
    <xf numFmtId="0" fontId="19" fillId="56" borderId="27" applyNumberFormat="0" applyProtection="0">
      <alignment horizontal="left" vertical="center" indent="1"/>
    </xf>
    <xf numFmtId="0" fontId="19" fillId="56" borderId="27" applyNumberFormat="0" applyProtection="0">
      <alignment horizontal="left" vertical="center" indent="1"/>
    </xf>
    <xf numFmtId="0" fontId="19" fillId="2" borderId="27" applyNumberFormat="0" applyProtection="0">
      <alignment horizontal="left" vertical="center" indent="1"/>
    </xf>
    <xf numFmtId="0" fontId="19" fillId="2" borderId="27" applyNumberFormat="0" applyProtection="0">
      <alignment horizontal="left" vertical="center" indent="1"/>
    </xf>
    <xf numFmtId="0" fontId="19" fillId="42" borderId="27" applyNumberFormat="0" applyProtection="0">
      <alignment horizontal="left" vertical="center" indent="1"/>
    </xf>
    <xf numFmtId="0" fontId="19" fillId="42" borderId="27" applyNumberFormat="0" applyProtection="0">
      <alignment horizontal="left" vertical="center" indent="1"/>
    </xf>
    <xf numFmtId="4" fontId="82" fillId="3" borderId="27" applyNumberFormat="0" applyProtection="0">
      <alignment vertical="center"/>
    </xf>
    <xf numFmtId="4" fontId="83" fillId="3" borderId="27" applyNumberFormat="0" applyProtection="0">
      <alignment vertical="center"/>
    </xf>
    <xf numFmtId="4" fontId="82" fillId="3" borderId="27" applyNumberFormat="0" applyProtection="0">
      <alignment horizontal="left" vertical="center" indent="1"/>
    </xf>
    <xf numFmtId="4" fontId="82" fillId="3" borderId="27" applyNumberFormat="0" applyProtection="0">
      <alignment horizontal="left" vertical="center" indent="1"/>
    </xf>
    <xf numFmtId="4" fontId="82" fillId="53" borderId="27" applyNumberFormat="0" applyProtection="0">
      <alignment horizontal="right" vertical="center"/>
    </xf>
    <xf numFmtId="4" fontId="83" fillId="53" borderId="27" applyNumberFormat="0" applyProtection="0">
      <alignment horizontal="right" vertical="center"/>
    </xf>
    <xf numFmtId="0" fontId="19" fillId="42" borderId="27" applyNumberFormat="0" applyProtection="0">
      <alignment horizontal="left" vertical="center" indent="1"/>
    </xf>
    <xf numFmtId="0" fontId="19" fillId="42" borderId="27" applyNumberFormat="0" applyProtection="0">
      <alignment horizontal="left" vertical="center" indent="1"/>
    </xf>
    <xf numFmtId="0" fontId="19" fillId="42" borderId="27" applyNumberFormat="0" applyProtection="0">
      <alignment horizontal="left" vertical="center" indent="1"/>
    </xf>
    <xf numFmtId="0" fontId="86" fillId="0" borderId="0"/>
    <xf numFmtId="4" fontId="87" fillId="53" borderId="27" applyNumberFormat="0" applyProtection="0">
      <alignment horizontal="right" vertical="center"/>
    </xf>
    <xf numFmtId="0" fontId="88" fillId="0" borderId="0"/>
    <xf numFmtId="49" fontId="89" fillId="2" borderId="29">
      <alignment horizontal="centerContinuous" vertical="center"/>
    </xf>
    <xf numFmtId="0" fontId="18" fillId="41" borderId="2" applyNumberFormat="0" applyAlignment="0">
      <alignment horizontal="left"/>
    </xf>
    <xf numFmtId="0" fontId="18" fillId="41" borderId="2" applyNumberFormat="0" applyAlignment="0">
      <alignment horizontal="left"/>
    </xf>
    <xf numFmtId="0" fontId="18" fillId="41" borderId="2" applyNumberFormat="0" applyAlignment="0">
      <alignment horizontal="left"/>
    </xf>
    <xf numFmtId="0" fontId="18" fillId="41" borderId="2" applyNumberFormat="0" applyAlignment="0">
      <alignment horizontal="left"/>
    </xf>
    <xf numFmtId="0" fontId="18" fillId="41" borderId="2" applyNumberFormat="0" applyAlignment="0">
      <alignment horizontal="left"/>
    </xf>
    <xf numFmtId="0" fontId="18" fillId="41" borderId="2" applyNumberFormat="0" applyAlignment="0">
      <alignment horizontal="left"/>
    </xf>
    <xf numFmtId="0" fontId="60" fillId="0" borderId="18"/>
    <xf numFmtId="0" fontId="62" fillId="0" borderId="0"/>
    <xf numFmtId="40" fontId="9" fillId="0" borderId="0"/>
    <xf numFmtId="0" fontId="90" fillId="57" borderId="0"/>
    <xf numFmtId="0" fontId="91" fillId="0" borderId="0" applyNumberFormat="0" applyFill="0" applyBorder="0" applyAlignment="0" applyProtection="0"/>
    <xf numFmtId="0" fontId="91" fillId="0" borderId="0" applyNumberFormat="0" applyFill="0" applyBorder="0" applyAlignment="0" applyProtection="0"/>
    <xf numFmtId="0" fontId="92" fillId="0" borderId="30" applyNumberFormat="0" applyFill="0" applyAlignment="0" applyProtection="0"/>
    <xf numFmtId="0" fontId="92" fillId="0" borderId="30" applyNumberFormat="0" applyFill="0" applyAlignment="0" applyProtection="0"/>
    <xf numFmtId="0" fontId="74" fillId="0" borderId="31"/>
    <xf numFmtId="0" fontId="74" fillId="0" borderId="18"/>
    <xf numFmtId="166" fontId="93" fillId="58" borderId="4">
      <alignment vertical="center" wrapText="1"/>
    </xf>
    <xf numFmtId="0" fontId="94" fillId="0" borderId="0" applyNumberFormat="0" applyFill="0" applyBorder="0" applyAlignment="0" applyProtection="0"/>
    <xf numFmtId="0" fontId="94" fillId="0" borderId="0" applyNumberFormat="0" applyFill="0" applyBorder="0" applyAlignment="0" applyProtection="0"/>
    <xf numFmtId="0" fontId="95" fillId="0" borderId="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xf numFmtId="0" fontId="97" fillId="0" borderId="0"/>
    <xf numFmtId="0" fontId="98" fillId="0" borderId="0">
      <alignment vertical="center"/>
    </xf>
    <xf numFmtId="0" fontId="97" fillId="0" borderId="0">
      <alignment vertical="center"/>
    </xf>
    <xf numFmtId="40" fontId="99" fillId="0" borderId="0" applyFont="0" applyFill="0" applyBorder="0" applyAlignment="0" applyProtection="0"/>
    <xf numFmtId="38" fontId="99" fillId="0" borderId="0" applyFont="0" applyFill="0" applyBorder="0" applyAlignment="0" applyProtection="0"/>
    <xf numFmtId="0" fontId="100" fillId="0" borderId="0"/>
    <xf numFmtId="189" fontId="99" fillId="0" borderId="0" applyFont="0" applyFill="0" applyBorder="0" applyAlignment="0" applyProtection="0"/>
    <xf numFmtId="190" fontId="99" fillId="0" borderId="0" applyFont="0" applyFill="0" applyBorder="0" applyAlignment="0" applyProtection="0"/>
    <xf numFmtId="167" fontId="19" fillId="0" borderId="0" applyFont="0" applyFill="0" applyBorder="0" applyAlignment="0" applyProtection="0"/>
    <xf numFmtId="0" fontId="6" fillId="0" borderId="0"/>
    <xf numFmtId="9" fontId="6"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3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19" fillId="0" borderId="0" applyFont="0" applyFill="0" applyBorder="0" applyAlignment="0" applyProtection="0"/>
    <xf numFmtId="9" fontId="19"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19" fillId="0" borderId="0"/>
    <xf numFmtId="43" fontId="19" fillId="0" borderId="0" applyFont="0" applyFill="0" applyBorder="0" applyAlignment="0" applyProtection="0"/>
    <xf numFmtId="9" fontId="4" fillId="0" borderId="0" applyFont="0" applyFill="0" applyBorder="0" applyAlignment="0" applyProtection="0"/>
    <xf numFmtId="0" fontId="3" fillId="0" borderId="0"/>
    <xf numFmtId="9" fontId="119" fillId="0" borderId="0" applyFont="0" applyFill="0" applyBorder="0" applyAlignment="0" applyProtection="0">
      <alignment vertical="center"/>
    </xf>
    <xf numFmtId="0" fontId="120" fillId="0" borderId="0"/>
    <xf numFmtId="0" fontId="3" fillId="0" borderId="0"/>
    <xf numFmtId="166" fontId="3" fillId="0" borderId="0" applyFont="0" applyFill="0" applyBorder="0" applyAlignment="0" applyProtection="0"/>
    <xf numFmtId="0" fontId="2" fillId="0" borderId="0"/>
  </cellStyleXfs>
  <cellXfs count="1594">
    <xf numFmtId="0" fontId="0" fillId="0" borderId="0" xfId="0"/>
    <xf numFmtId="0" fontId="8" fillId="0" borderId="0" xfId="10" applyFont="1"/>
    <xf numFmtId="0" fontId="8" fillId="6" borderId="4" xfId="10" applyFont="1" applyFill="1" applyBorder="1"/>
    <xf numFmtId="0" fontId="8" fillId="0" borderId="0" xfId="10" applyFont="1" applyFill="1"/>
    <xf numFmtId="0" fontId="8" fillId="0" borderId="4" xfId="10" applyFont="1" applyFill="1" applyBorder="1"/>
    <xf numFmtId="0" fontId="9" fillId="0" borderId="4" xfId="10" applyFont="1" applyFill="1" applyBorder="1"/>
    <xf numFmtId="0" fontId="14" fillId="5" borderId="0" xfId="10" applyFont="1" applyFill="1" applyBorder="1"/>
    <xf numFmtId="0" fontId="8" fillId="0" borderId="0" xfId="10" applyFont="1" applyBorder="1"/>
    <xf numFmtId="0" fontId="9" fillId="0" borderId="0" xfId="10" applyFont="1" applyFill="1" applyBorder="1" applyAlignment="1">
      <alignment horizontal="center"/>
    </xf>
    <xf numFmtId="0" fontId="8" fillId="0" borderId="0" xfId="10" applyFont="1" applyAlignment="1">
      <alignment horizontal="centerContinuous"/>
    </xf>
    <xf numFmtId="0" fontId="9" fillId="0" borderId="0" xfId="10" applyFont="1" applyBorder="1"/>
    <xf numFmtId="0" fontId="8" fillId="5" borderId="0" xfId="10" applyFont="1" applyFill="1" applyBorder="1"/>
    <xf numFmtId="0" fontId="9" fillId="0" borderId="0" xfId="10" applyFont="1" applyAlignment="1">
      <alignment horizontal="centerContinuous"/>
    </xf>
    <xf numFmtId="0" fontId="16" fillId="0" borderId="0" xfId="10" applyFont="1"/>
    <xf numFmtId="0" fontId="8" fillId="0" borderId="4" xfId="10" applyFont="1" applyBorder="1"/>
    <xf numFmtId="0" fontId="8" fillId="5" borderId="4" xfId="10" applyFont="1" applyFill="1" applyBorder="1"/>
    <xf numFmtId="0" fontId="8" fillId="0" borderId="0" xfId="10" applyFont="1" applyFill="1" applyBorder="1"/>
    <xf numFmtId="0" fontId="9" fillId="4" borderId="4" xfId="10" applyFont="1" applyFill="1" applyBorder="1"/>
    <xf numFmtId="0" fontId="8" fillId="0" borderId="0" xfId="14" applyFont="1">
      <alignment vertical="center"/>
    </xf>
    <xf numFmtId="0" fontId="9" fillId="0" borderId="0" xfId="14" applyFont="1" applyAlignment="1">
      <alignment horizontal="centerContinuous" vertical="center"/>
    </xf>
    <xf numFmtId="0" fontId="8" fillId="0" borderId="0" xfId="14" applyFont="1" applyAlignment="1">
      <alignment horizontal="centerContinuous" vertical="center"/>
    </xf>
    <xf numFmtId="0" fontId="9" fillId="0" borderId="0" xfId="10" applyFont="1" applyBorder="1" applyAlignment="1">
      <alignment horizontal="centerContinuous" vertical="top"/>
    </xf>
    <xf numFmtId="0" fontId="8" fillId="0" borderId="0" xfId="10" applyFont="1" applyBorder="1" applyAlignment="1">
      <alignment horizontal="centerContinuous"/>
    </xf>
    <xf numFmtId="0" fontId="9" fillId="0" borderId="0" xfId="10" applyFont="1" applyBorder="1" applyAlignment="1">
      <alignment horizontal="centerContinuous"/>
    </xf>
    <xf numFmtId="0" fontId="8" fillId="7" borderId="0" xfId="10" applyFont="1" applyFill="1" applyBorder="1" applyAlignment="1">
      <alignment horizontal="centerContinuous"/>
    </xf>
    <xf numFmtId="0" fontId="8" fillId="7" borderId="0" xfId="10" applyFont="1" applyFill="1" applyBorder="1" applyAlignment="1">
      <alignment horizontal="left"/>
    </xf>
    <xf numFmtId="0" fontId="9" fillId="0" borderId="0" xfId="14" applyFont="1" applyAlignment="1">
      <alignment horizontal="right" vertical="center"/>
    </xf>
    <xf numFmtId="0" fontId="9" fillId="0" borderId="0" xfId="14" applyFont="1">
      <alignment vertical="center"/>
    </xf>
    <xf numFmtId="0" fontId="8" fillId="7" borderId="0" xfId="14" applyFont="1" applyFill="1" applyBorder="1">
      <alignment vertical="center"/>
    </xf>
    <xf numFmtId="0" fontId="8" fillId="0" borderId="4" xfId="14" applyFont="1" applyBorder="1">
      <alignment vertical="center"/>
    </xf>
    <xf numFmtId="0" fontId="9" fillId="5" borderId="4" xfId="10" applyFont="1" applyFill="1" applyBorder="1" applyAlignment="1" applyProtection="1">
      <alignment horizontal="left"/>
    </xf>
    <xf numFmtId="0" fontId="8" fillId="5" borderId="4" xfId="10" applyFont="1" applyFill="1" applyBorder="1" applyAlignment="1" applyProtection="1">
      <alignment horizontal="left"/>
    </xf>
    <xf numFmtId="0" fontId="9" fillId="0" borderId="4" xfId="14" applyFont="1" applyBorder="1">
      <alignment vertical="center"/>
    </xf>
    <xf numFmtId="0" fontId="17" fillId="0" borderId="0" xfId="10" applyFont="1" applyAlignment="1">
      <alignment horizontal="center" vertical="center"/>
    </xf>
    <xf numFmtId="0" fontId="18" fillId="0" borderId="0" xfId="14" applyFont="1">
      <alignment vertical="center"/>
    </xf>
    <xf numFmtId="0" fontId="12" fillId="0" borderId="0" xfId="14" applyFont="1" applyAlignment="1">
      <alignment horizontal="right" vertical="center"/>
    </xf>
    <xf numFmtId="0" fontId="8" fillId="7" borderId="4" xfId="14" applyFont="1" applyFill="1" applyBorder="1">
      <alignment vertical="center"/>
    </xf>
    <xf numFmtId="0" fontId="8" fillId="0" borderId="0" xfId="14" applyFont="1" applyAlignment="1">
      <alignment vertical="center"/>
    </xf>
    <xf numFmtId="0" fontId="8" fillId="0" borderId="0" xfId="10" applyFont="1" applyBorder="1" applyAlignment="1"/>
    <xf numFmtId="0" fontId="8" fillId="0" borderId="0" xfId="10" applyFont="1" applyBorder="1" applyAlignment="1">
      <alignment vertical="top"/>
    </xf>
    <xf numFmtId="0" fontId="8" fillId="0" borderId="4" xfId="10" applyFont="1" applyBorder="1" applyAlignment="1">
      <alignment vertical="top"/>
    </xf>
    <xf numFmtId="0" fontId="9" fillId="0" borderId="4" xfId="10" applyFont="1" applyBorder="1"/>
    <xf numFmtId="0" fontId="8" fillId="0" borderId="0" xfId="10" applyFont="1" applyFill="1" applyBorder="1" applyProtection="1"/>
    <xf numFmtId="0" fontId="28" fillId="0" borderId="0" xfId="10" applyFont="1" applyBorder="1" applyAlignment="1">
      <alignment horizontal="left"/>
    </xf>
    <xf numFmtId="168" fontId="8" fillId="0" borderId="0" xfId="10" applyNumberFormat="1" applyFont="1" applyFill="1" applyBorder="1" applyProtection="1"/>
    <xf numFmtId="0" fontId="8" fillId="0" borderId="0" xfId="10" applyFont="1" applyBorder="1" applyAlignment="1">
      <alignment horizontal="center"/>
    </xf>
    <xf numFmtId="0" fontId="9" fillId="0" borderId="0" xfId="10" applyFont="1" applyBorder="1" applyAlignment="1">
      <alignment horizontal="left"/>
    </xf>
    <xf numFmtId="0" fontId="9" fillId="5" borderId="0" xfId="10" applyFont="1" applyFill="1" applyBorder="1"/>
    <xf numFmtId="0" fontId="9" fillId="0" borderId="0" xfId="14" applyFont="1" applyFill="1" applyBorder="1" applyAlignment="1">
      <alignment vertical="center" wrapText="1"/>
    </xf>
    <xf numFmtId="0" fontId="8" fillId="0" borderId="4" xfId="10" applyFont="1" applyFill="1" applyBorder="1" applyAlignment="1" applyProtection="1">
      <alignment horizontal="left"/>
    </xf>
    <xf numFmtId="0" fontId="8" fillId="5" borderId="4" xfId="10" applyFont="1" applyFill="1" applyBorder="1" applyAlignment="1" applyProtection="1">
      <alignment vertical="top" wrapText="1"/>
    </xf>
    <xf numFmtId="0" fontId="9" fillId="5" borderId="4" xfId="10" applyFont="1" applyFill="1" applyBorder="1" applyAlignment="1" applyProtection="1">
      <alignment vertical="top" wrapText="1"/>
    </xf>
    <xf numFmtId="0" fontId="9" fillId="0" borderId="0" xfId="10" applyFont="1" applyBorder="1" applyAlignment="1">
      <alignment horizontal="right"/>
    </xf>
    <xf numFmtId="0" fontId="8" fillId="0" borderId="0" xfId="14" applyFont="1" applyFill="1" applyBorder="1">
      <alignment vertical="center"/>
    </xf>
    <xf numFmtId="0" fontId="9" fillId="0" borderId="0" xfId="10" applyFont="1" applyBorder="1" applyAlignment="1">
      <alignment vertical="center"/>
    </xf>
    <xf numFmtId="0" fontId="8" fillId="0" borderId="0" xfId="10" applyFont="1" applyFill="1" applyBorder="1" applyAlignment="1">
      <alignment horizontal="centerContinuous"/>
    </xf>
    <xf numFmtId="0" fontId="9" fillId="0" borderId="0" xfId="10" applyFont="1" applyFill="1" applyBorder="1" applyAlignment="1">
      <alignment horizontal="centerContinuous"/>
    </xf>
    <xf numFmtId="0" fontId="11" fillId="0" borderId="0" xfId="10" applyFont="1" applyBorder="1" applyAlignment="1">
      <alignment horizontal="left"/>
    </xf>
    <xf numFmtId="0" fontId="9" fillId="0" borderId="0" xfId="10" applyFont="1" applyBorder="1" applyAlignment="1">
      <alignment horizontal="left" vertical="top"/>
    </xf>
    <xf numFmtId="0" fontId="8" fillId="0" borderId="0" xfId="10" applyFont="1" applyAlignment="1"/>
    <xf numFmtId="0" fontId="8" fillId="0" borderId="0" xfId="10" applyFont="1" applyBorder="1" applyAlignment="1">
      <alignment horizontal="centerContinuous" vertical="top"/>
    </xf>
    <xf numFmtId="0" fontId="31" fillId="0" borderId="0" xfId="10" applyFont="1" applyFill="1" applyBorder="1"/>
    <xf numFmtId="0" fontId="9" fillId="0" borderId="0" xfId="10" applyFont="1" applyBorder="1" applyAlignment="1">
      <alignment horizontal="center"/>
    </xf>
    <xf numFmtId="0" fontId="9" fillId="0" borderId="4" xfId="10" applyFont="1" applyBorder="1" applyAlignment="1">
      <alignment vertical="top"/>
    </xf>
    <xf numFmtId="0" fontId="9" fillId="0" borderId="4" xfId="10" applyFont="1" applyFill="1" applyBorder="1" applyAlignment="1">
      <alignment vertical="top"/>
    </xf>
    <xf numFmtId="0" fontId="8" fillId="7" borderId="0" xfId="10" applyFont="1" applyFill="1" applyBorder="1"/>
    <xf numFmtId="0" fontId="8" fillId="0" borderId="4" xfId="10" applyFont="1" applyFill="1" applyBorder="1" applyAlignment="1" applyProtection="1">
      <alignment vertical="top" wrapText="1"/>
    </xf>
    <xf numFmtId="0" fontId="8" fillId="0" borderId="4" xfId="10" applyFont="1" applyFill="1" applyBorder="1" applyAlignment="1" applyProtection="1">
      <alignment horizontal="left" vertical="top" wrapText="1"/>
    </xf>
    <xf numFmtId="0" fontId="8" fillId="0" borderId="4" xfId="10" applyFont="1" applyFill="1" applyBorder="1" applyAlignment="1">
      <alignment vertical="top"/>
    </xf>
    <xf numFmtId="0" fontId="31" fillId="0" borderId="0" xfId="14" applyFont="1" applyFill="1">
      <alignment vertical="center"/>
    </xf>
    <xf numFmtId="0" fontId="9" fillId="0" borderId="0" xfId="10" applyFont="1" applyBorder="1" applyAlignment="1"/>
    <xf numFmtId="0" fontId="9" fillId="0" borderId="0" xfId="14" applyFont="1" applyFill="1" applyBorder="1" applyAlignment="1">
      <alignment horizontal="left" vertical="center"/>
    </xf>
    <xf numFmtId="0" fontId="8" fillId="0" borderId="0" xfId="14" applyFont="1" applyAlignment="1">
      <alignment vertical="center" wrapText="1"/>
    </xf>
    <xf numFmtId="0" fontId="8" fillId="0" borderId="4" xfId="10" quotePrefix="1" applyFont="1" applyBorder="1" applyAlignment="1">
      <alignment horizontal="center" vertical="top" wrapText="1"/>
    </xf>
    <xf numFmtId="0" fontId="8" fillId="0" borderId="0" xfId="10" applyFont="1" applyBorder="1" applyAlignment="1">
      <alignment vertical="center"/>
    </xf>
    <xf numFmtId="0" fontId="8" fillId="0" borderId="4" xfId="10" applyFont="1" applyFill="1" applyBorder="1" applyAlignment="1" applyProtection="1">
      <alignment horizontal="left" vertical="center"/>
    </xf>
    <xf numFmtId="0" fontId="8" fillId="0" borderId="0" xfId="10" applyFont="1" applyFill="1" applyBorder="1" applyAlignment="1">
      <alignment vertical="center"/>
    </xf>
    <xf numFmtId="0" fontId="9" fillId="0" borderId="0" xfId="10" applyFont="1" applyBorder="1" applyAlignment="1">
      <alignment horizontal="center" vertical="center"/>
    </xf>
    <xf numFmtId="0" fontId="8" fillId="0" borderId="4" xfId="10" applyFont="1" applyBorder="1" applyAlignment="1">
      <alignment horizontal="center" vertical="top"/>
    </xf>
    <xf numFmtId="0" fontId="8" fillId="0" borderId="4" xfId="10" applyFont="1" applyFill="1" applyBorder="1" applyAlignment="1" applyProtection="1">
      <alignment horizontal="left" wrapText="1"/>
    </xf>
    <xf numFmtId="0" fontId="9" fillId="0" borderId="0" xfId="10" applyFont="1" applyFill="1" applyBorder="1" applyAlignment="1">
      <alignment horizontal="center" vertical="center"/>
    </xf>
    <xf numFmtId="0" fontId="9" fillId="0" borderId="4" xfId="10" applyFont="1" applyFill="1" applyBorder="1" applyAlignment="1">
      <alignment horizontal="left"/>
    </xf>
    <xf numFmtId="0" fontId="15" fillId="0" borderId="4" xfId="10" applyFont="1" applyFill="1" applyBorder="1"/>
    <xf numFmtId="0" fontId="27" fillId="0" borderId="4" xfId="10" applyFont="1" applyFill="1" applyBorder="1"/>
    <xf numFmtId="0" fontId="20" fillId="0" borderId="4" xfId="10" applyFont="1" applyFill="1" applyBorder="1"/>
    <xf numFmtId="0" fontId="8" fillId="0" borderId="4" xfId="10" applyFont="1" applyFill="1" applyBorder="1" applyAlignment="1">
      <alignment horizontal="left"/>
    </xf>
    <xf numFmtId="0" fontId="15" fillId="6" borderId="4" xfId="10" applyFont="1" applyFill="1" applyBorder="1"/>
    <xf numFmtId="0" fontId="8" fillId="0" borderId="0" xfId="10" applyFont="1" applyAlignment="1">
      <alignment vertical="center"/>
    </xf>
    <xf numFmtId="0" fontId="8" fillId="0" borderId="4" xfId="10" applyFont="1" applyFill="1" applyBorder="1" applyAlignment="1">
      <alignment horizontal="left" vertical="top"/>
    </xf>
    <xf numFmtId="0" fontId="8" fillId="0" borderId="4" xfId="10" applyFont="1" applyFill="1" applyBorder="1" applyAlignment="1">
      <alignment horizontal="left" vertical="top" wrapText="1"/>
    </xf>
    <xf numFmtId="0" fontId="9" fillId="0" borderId="4" xfId="10" applyFont="1" applyBorder="1" applyAlignment="1">
      <alignment horizontal="left" vertical="top"/>
    </xf>
    <xf numFmtId="0" fontId="8" fillId="0" borderId="0" xfId="14" applyFont="1" applyAlignment="1">
      <alignment horizontal="center" vertical="center"/>
    </xf>
    <xf numFmtId="0" fontId="8" fillId="0" borderId="4" xfId="14" applyFont="1" applyBorder="1" applyAlignment="1">
      <alignment horizontal="center" vertical="center"/>
    </xf>
    <xf numFmtId="0" fontId="9" fillId="0" borderId="4" xfId="14" applyFont="1" applyBorder="1" applyAlignment="1">
      <alignment horizontal="center" vertical="center"/>
    </xf>
    <xf numFmtId="0" fontId="8" fillId="0" borderId="4" xfId="14" applyFont="1" applyBorder="1" applyAlignment="1">
      <alignment vertical="top" wrapText="1"/>
    </xf>
    <xf numFmtId="0" fontId="8" fillId="0" borderId="4" xfId="14" applyFont="1" applyBorder="1" applyAlignment="1">
      <alignment horizontal="center" vertical="top" wrapText="1"/>
    </xf>
    <xf numFmtId="0" fontId="9" fillId="0" borderId="4" xfId="14" applyFont="1" applyBorder="1" applyAlignment="1">
      <alignment vertical="top" wrapText="1"/>
    </xf>
    <xf numFmtId="16" fontId="9" fillId="4" borderId="4" xfId="10" applyNumberFormat="1" applyFont="1" applyFill="1" applyBorder="1" applyAlignment="1">
      <alignment horizontal="center" vertical="center" wrapText="1"/>
    </xf>
    <xf numFmtId="0" fontId="9" fillId="0" borderId="4" xfId="10" quotePrefix="1" applyFont="1" applyBorder="1" applyAlignment="1">
      <alignment horizontal="center" vertical="top" wrapText="1"/>
    </xf>
    <xf numFmtId="0" fontId="9" fillId="0" borderId="4" xfId="10" applyFont="1" applyBorder="1" applyAlignment="1"/>
    <xf numFmtId="0" fontId="10" fillId="0" borderId="0" xfId="10" applyFont="1" applyAlignment="1">
      <alignment vertical="center"/>
    </xf>
    <xf numFmtId="0" fontId="19" fillId="0" borderId="0" xfId="10" applyAlignment="1">
      <alignment vertical="center"/>
    </xf>
    <xf numFmtId="0" fontId="8" fillId="4" borderId="4" xfId="14" applyFont="1" applyFill="1" applyBorder="1">
      <alignment vertical="center"/>
    </xf>
    <xf numFmtId="0" fontId="9" fillId="0" borderId="4" xfId="14" applyFont="1" applyBorder="1" applyAlignment="1">
      <alignment horizontal="center" vertical="top" wrapText="1"/>
    </xf>
    <xf numFmtId="0" fontId="8" fillId="0" borderId="4" xfId="10" applyFont="1" applyFill="1" applyBorder="1" applyAlignment="1">
      <alignment vertical="top" wrapText="1"/>
    </xf>
    <xf numFmtId="0" fontId="8" fillId="0" borderId="4" xfId="14" applyFont="1" applyFill="1" applyBorder="1">
      <alignment vertical="center"/>
    </xf>
    <xf numFmtId="0" fontId="8" fillId="0" borderId="4" xfId="14" applyFont="1" applyFill="1" applyBorder="1" applyAlignment="1">
      <alignment vertical="top" wrapText="1"/>
    </xf>
    <xf numFmtId="0" fontId="8" fillId="0" borderId="0" xfId="15" applyFont="1" applyAlignment="1">
      <alignment vertical="center"/>
    </xf>
    <xf numFmtId="0" fontId="18" fillId="0" borderId="4" xfId="14" applyFont="1" applyBorder="1">
      <alignment vertical="center"/>
    </xf>
    <xf numFmtId="0" fontId="18" fillId="0" borderId="4" xfId="14" applyFont="1" applyBorder="1" applyAlignment="1">
      <alignment horizontal="center" vertical="center"/>
    </xf>
    <xf numFmtId="0" fontId="18" fillId="0" borderId="4" xfId="14" applyFont="1" applyFill="1" applyBorder="1" applyAlignment="1">
      <alignment horizontal="left" vertical="center"/>
    </xf>
    <xf numFmtId="0" fontId="18" fillId="0" borderId="4" xfId="14" applyFont="1" applyBorder="1" applyAlignment="1">
      <alignment vertical="top" wrapText="1"/>
    </xf>
    <xf numFmtId="0" fontId="34" fillId="0" borderId="4" xfId="19" applyFont="1" applyBorder="1" applyAlignment="1">
      <alignment vertical="center"/>
    </xf>
    <xf numFmtId="0" fontId="34" fillId="0" borderId="4" xfId="19" applyFont="1" applyBorder="1" applyAlignment="1">
      <alignment horizontal="center" vertical="center"/>
    </xf>
    <xf numFmtId="0" fontId="33" fillId="0" borderId="4" xfId="19" applyFont="1" applyBorder="1" applyAlignment="1">
      <alignment vertical="center"/>
    </xf>
    <xf numFmtId="0" fontId="33" fillId="0" borderId="4" xfId="19" applyFont="1" applyBorder="1" applyAlignment="1">
      <alignment horizontal="center" vertical="center"/>
    </xf>
    <xf numFmtId="166" fontId="33" fillId="0" borderId="4" xfId="20" applyFont="1" applyBorder="1" applyAlignment="1">
      <alignment vertical="center"/>
    </xf>
    <xf numFmtId="166" fontId="8" fillId="0" borderId="4" xfId="20" applyFont="1" applyBorder="1" applyAlignment="1">
      <alignment vertical="center"/>
    </xf>
    <xf numFmtId="2" fontId="33" fillId="0" borderId="4" xfId="19" applyNumberFormat="1" applyFont="1" applyBorder="1" applyAlignment="1">
      <alignment vertical="center"/>
    </xf>
    <xf numFmtId="2" fontId="34" fillId="0" borderId="4" xfId="19" applyNumberFormat="1" applyFont="1" applyBorder="1" applyAlignment="1">
      <alignment vertical="center"/>
    </xf>
    <xf numFmtId="2" fontId="8" fillId="0" borderId="4" xfId="19" applyNumberFormat="1" applyFont="1" applyBorder="1" applyAlignment="1">
      <alignment vertical="center"/>
    </xf>
    <xf numFmtId="0" fontId="33" fillId="0" borderId="4" xfId="19" applyFont="1" applyBorder="1" applyAlignment="1">
      <alignment horizontal="left" vertical="center"/>
    </xf>
    <xf numFmtId="0" fontId="33" fillId="8" borderId="4" xfId="19" applyFont="1" applyFill="1" applyBorder="1" applyAlignment="1">
      <alignment horizontal="center" vertical="center"/>
    </xf>
    <xf numFmtId="0" fontId="33" fillId="8" borderId="4" xfId="19" applyFont="1" applyFill="1" applyBorder="1" applyAlignment="1">
      <alignment horizontal="left" vertical="center"/>
    </xf>
    <xf numFmtId="0" fontId="33" fillId="8" borderId="4" xfId="19" applyFont="1" applyFill="1" applyBorder="1" applyAlignment="1">
      <alignment horizontal="center" vertical="center" wrapText="1"/>
    </xf>
    <xf numFmtId="0" fontId="8" fillId="0" borderId="4" xfId="14" applyFont="1" applyBorder="1" applyAlignment="1">
      <alignment horizontal="left" vertical="center"/>
    </xf>
    <xf numFmtId="0" fontId="8" fillId="7" borderId="4" xfId="14" applyFont="1" applyFill="1" applyBorder="1" applyAlignment="1">
      <alignment horizontal="left" vertical="center"/>
    </xf>
    <xf numFmtId="0" fontId="9" fillId="7" borderId="4" xfId="14" applyFont="1" applyFill="1" applyBorder="1" applyAlignment="1">
      <alignment horizontal="left" vertical="center"/>
    </xf>
    <xf numFmtId="0" fontId="8" fillId="0" borderId="4" xfId="14" applyFont="1" applyFill="1" applyBorder="1" applyAlignment="1">
      <alignment horizontal="left" vertical="center"/>
    </xf>
    <xf numFmtId="0" fontId="8" fillId="5" borderId="4" xfId="14" applyFont="1" applyFill="1" applyBorder="1">
      <alignment vertical="center"/>
    </xf>
    <xf numFmtId="0" fontId="9" fillId="5" borderId="4" xfId="10" applyFont="1" applyFill="1" applyBorder="1" applyAlignment="1" applyProtection="1">
      <alignment horizontal="left" vertical="top" wrapText="1"/>
    </xf>
    <xf numFmtId="0" fontId="8" fillId="5" borderId="4" xfId="10" applyFont="1" applyFill="1" applyBorder="1" applyAlignment="1">
      <alignment horizontal="center"/>
    </xf>
    <xf numFmtId="0" fontId="9" fillId="0" borderId="4" xfId="10" applyFont="1" applyBorder="1" applyAlignment="1">
      <alignment vertical="top" wrapText="1"/>
    </xf>
    <xf numFmtId="0" fontId="9" fillId="5" borderId="4" xfId="10" applyFont="1" applyFill="1" applyBorder="1"/>
    <xf numFmtId="0" fontId="9" fillId="5" borderId="4" xfId="10" applyFont="1" applyFill="1" applyBorder="1" applyAlignment="1">
      <alignment horizontal="center" vertical="center" wrapText="1"/>
    </xf>
    <xf numFmtId="0" fontId="9" fillId="5" borderId="4" xfId="10" applyFont="1" applyFill="1" applyBorder="1" applyAlignment="1">
      <alignment horizontal="center" vertical="center"/>
    </xf>
    <xf numFmtId="0" fontId="8" fillId="0" borderId="4" xfId="10" applyFont="1" applyFill="1" applyBorder="1" applyAlignment="1" applyProtection="1">
      <alignment wrapText="1"/>
    </xf>
    <xf numFmtId="0" fontId="9" fillId="0" borderId="0" xfId="10" applyFont="1" applyBorder="1" applyAlignment="1">
      <alignment horizontal="left" vertical="center"/>
    </xf>
    <xf numFmtId="0" fontId="9" fillId="0" borderId="0" xfId="10" applyFont="1" applyBorder="1" applyAlignment="1">
      <alignment horizontal="centerContinuous" vertical="center"/>
    </xf>
    <xf numFmtId="0" fontId="8" fillId="5" borderId="4" xfId="10" applyFont="1" applyFill="1" applyBorder="1" applyAlignment="1">
      <alignment horizontal="center" vertical="center"/>
    </xf>
    <xf numFmtId="0" fontId="8" fillId="0" borderId="4" xfId="10" applyFont="1" applyBorder="1" applyAlignment="1">
      <alignment vertical="center"/>
    </xf>
    <xf numFmtId="0" fontId="9" fillId="5" borderId="4" xfId="10" applyFont="1" applyFill="1" applyBorder="1" applyAlignment="1" applyProtection="1">
      <alignment vertical="center" wrapText="1"/>
    </xf>
    <xf numFmtId="0" fontId="9" fillId="5" borderId="0" xfId="10" applyFont="1" applyFill="1" applyBorder="1" applyAlignment="1">
      <alignment vertical="center"/>
    </xf>
    <xf numFmtId="0" fontId="8" fillId="0" borderId="4" xfId="10" applyFont="1" applyFill="1" applyBorder="1" applyAlignment="1" applyProtection="1">
      <alignment horizontal="center" vertical="center"/>
    </xf>
    <xf numFmtId="0" fontId="8" fillId="0" borderId="4" xfId="10" applyFont="1" applyFill="1" applyBorder="1" applyAlignment="1">
      <alignment vertical="center"/>
    </xf>
    <xf numFmtId="0" fontId="19" fillId="0" borderId="4" xfId="10" applyFill="1" applyBorder="1" applyAlignment="1">
      <alignment horizontal="center" vertical="center" wrapText="1"/>
    </xf>
    <xf numFmtId="0" fontId="9" fillId="0" borderId="4" xfId="10" applyFont="1" applyFill="1" applyBorder="1" applyAlignment="1" applyProtection="1">
      <alignment horizontal="center" vertical="center" wrapText="1"/>
    </xf>
    <xf numFmtId="0" fontId="9" fillId="0" borderId="4" xfId="10" applyFont="1" applyFill="1" applyBorder="1" applyAlignment="1" applyProtection="1">
      <alignment horizontal="left" vertical="center"/>
    </xf>
    <xf numFmtId="0" fontId="8" fillId="0" borderId="4" xfId="10" applyFont="1" applyBorder="1" applyAlignment="1">
      <alignment vertical="top" wrapText="1"/>
    </xf>
    <xf numFmtId="0" fontId="9" fillId="0" borderId="4" xfId="10" applyFont="1" applyBorder="1" applyAlignment="1">
      <alignment horizontal="center" vertical="top"/>
    </xf>
    <xf numFmtId="0" fontId="8" fillId="4" borderId="4" xfId="10" applyFont="1" applyFill="1" applyBorder="1" applyAlignment="1">
      <alignment horizontal="center"/>
    </xf>
    <xf numFmtId="0" fontId="8" fillId="7" borderId="4" xfId="10" applyFont="1" applyFill="1" applyBorder="1" applyAlignment="1" applyProtection="1">
      <alignment horizontal="left"/>
    </xf>
    <xf numFmtId="0" fontId="8" fillId="5" borderId="4" xfId="10" applyFont="1" applyFill="1" applyBorder="1" applyAlignment="1">
      <alignment horizontal="left" vertical="top" wrapText="1"/>
    </xf>
    <xf numFmtId="0" fontId="9" fillId="4" borderId="4" xfId="14" applyFont="1" applyFill="1" applyBorder="1" applyAlignment="1">
      <alignment horizontal="center" vertical="center" wrapText="1"/>
    </xf>
    <xf numFmtId="0" fontId="9" fillId="0" borderId="0" xfId="10" applyFont="1" applyBorder="1" applyAlignment="1">
      <alignment horizontal="centerContinuous"/>
    </xf>
    <xf numFmtId="0" fontId="8" fillId="0" borderId="0" xfId="10" applyFont="1" applyBorder="1"/>
    <xf numFmtId="0" fontId="9" fillId="5" borderId="0" xfId="10" applyFont="1" applyFill="1" applyBorder="1" applyAlignment="1">
      <alignment horizontal="left" vertical="top"/>
    </xf>
    <xf numFmtId="0" fontId="9" fillId="5" borderId="0" xfId="10" applyFont="1" applyFill="1" applyBorder="1" applyAlignment="1">
      <alignment horizontal="left"/>
    </xf>
    <xf numFmtId="0" fontId="9" fillId="0" borderId="0" xfId="10" applyFont="1" applyFill="1" applyBorder="1" applyAlignment="1"/>
    <xf numFmtId="0" fontId="8" fillId="5" borderId="0" xfId="10" applyFont="1" applyFill="1" applyBorder="1" applyAlignment="1">
      <alignment horizontal="center" vertical="center"/>
    </xf>
    <xf numFmtId="0" fontId="8" fillId="5" borderId="0" xfId="14" applyFont="1" applyFill="1" applyBorder="1">
      <alignment vertical="center"/>
    </xf>
    <xf numFmtId="0" fontId="8" fillId="5" borderId="0" xfId="10" applyFont="1" applyFill="1" applyBorder="1" applyAlignment="1" applyProtection="1">
      <alignment vertical="top" wrapText="1"/>
    </xf>
    <xf numFmtId="0" fontId="9" fillId="0" borderId="4" xfId="14" applyFont="1" applyFill="1" applyBorder="1" applyAlignment="1">
      <alignment vertical="center" wrapText="1"/>
    </xf>
    <xf numFmtId="0" fontId="9" fillId="0" borderId="4" xfId="10" applyFont="1" applyFill="1" applyBorder="1" applyAlignment="1" applyProtection="1">
      <alignment horizontal="left"/>
    </xf>
    <xf numFmtId="0" fontId="8" fillId="5" borderId="4" xfId="10" applyFont="1" applyFill="1" applyBorder="1" applyAlignment="1" applyProtection="1">
      <alignment horizontal="left" vertical="top" wrapText="1"/>
    </xf>
    <xf numFmtId="0" fontId="9" fillId="0" borderId="0" xfId="14" applyFont="1" applyBorder="1">
      <alignment vertical="center"/>
    </xf>
    <xf numFmtId="0" fontId="9" fillId="4" borderId="4" xfId="14" applyFont="1" applyFill="1" applyBorder="1" applyAlignment="1">
      <alignment horizontal="center" vertical="center" wrapText="1"/>
    </xf>
    <xf numFmtId="0" fontId="9" fillId="0" borderId="0" xfId="10" applyFont="1" applyBorder="1" applyAlignment="1">
      <alignment horizontal="center" vertical="center"/>
    </xf>
    <xf numFmtId="0" fontId="9" fillId="4" borderId="4" xfId="10" applyFont="1" applyFill="1" applyBorder="1" applyAlignment="1">
      <alignment horizontal="center" vertical="center" wrapText="1"/>
    </xf>
    <xf numFmtId="0" fontId="9" fillId="0" borderId="0" xfId="10" applyFont="1" applyAlignment="1">
      <alignment horizontal="left"/>
    </xf>
    <xf numFmtId="0" fontId="8" fillId="0" borderId="0" xfId="14" applyFont="1" applyBorder="1">
      <alignment vertical="center"/>
    </xf>
    <xf numFmtId="0" fontId="8" fillId="0" borderId="0" xfId="0" applyFont="1"/>
    <xf numFmtId="0" fontId="8" fillId="7" borderId="4" xfId="10" quotePrefix="1" applyFont="1" applyFill="1" applyBorder="1" applyAlignment="1">
      <alignment horizontal="center" vertical="top" wrapText="1"/>
    </xf>
    <xf numFmtId="0" fontId="8" fillId="7" borderId="4" xfId="10" applyFont="1" applyFill="1" applyBorder="1" applyAlignment="1">
      <alignment horizontal="center" vertical="top" wrapText="1"/>
    </xf>
    <xf numFmtId="0" fontId="8" fillId="7" borderId="4" xfId="10" applyFont="1" applyFill="1" applyBorder="1" applyAlignment="1">
      <alignment vertical="top"/>
    </xf>
    <xf numFmtId="0" fontId="8" fillId="7" borderId="4" xfId="10" applyFont="1" applyFill="1" applyBorder="1" applyAlignment="1">
      <alignment horizontal="left" vertical="top"/>
    </xf>
    <xf numFmtId="0" fontId="8" fillId="7" borderId="4" xfId="10" applyFont="1" applyFill="1" applyBorder="1"/>
    <xf numFmtId="0" fontId="9" fillId="7" borderId="4" xfId="10" applyFont="1" applyFill="1" applyBorder="1"/>
    <xf numFmtId="0" fontId="8" fillId="7" borderId="4" xfId="10" applyFont="1" applyFill="1" applyBorder="1" applyAlignment="1">
      <alignment horizontal="right"/>
    </xf>
    <xf numFmtId="0" fontId="30" fillId="7" borderId="4" xfId="10" applyFont="1" applyFill="1" applyBorder="1"/>
    <xf numFmtId="0" fontId="9" fillId="0" borderId="0" xfId="0" applyFont="1" applyBorder="1" applyAlignment="1">
      <alignment horizontal="left"/>
    </xf>
    <xf numFmtId="0" fontId="9" fillId="0" borderId="0" xfId="10" applyFont="1" applyBorder="1" applyAlignment="1">
      <alignment vertical="top"/>
    </xf>
    <xf numFmtId="0" fontId="9" fillId="0" borderId="0" xfId="14" applyFont="1" applyAlignment="1">
      <alignment vertical="center"/>
    </xf>
    <xf numFmtId="0" fontId="9" fillId="0" borderId="0" xfId="14" applyFont="1" applyAlignment="1">
      <alignment horizontal="center" vertical="center"/>
    </xf>
    <xf numFmtId="0" fontId="8" fillId="0" borderId="0" xfId="10" applyFont="1" applyAlignment="1">
      <alignment horizontal="center" vertical="center"/>
    </xf>
    <xf numFmtId="0" fontId="9" fillId="0" borderId="0" xfId="10" applyFont="1" applyBorder="1" applyAlignment="1">
      <alignment horizontal="center" vertical="center"/>
    </xf>
    <xf numFmtId="0" fontId="8" fillId="0" borderId="4" xfId="10" applyFont="1" applyBorder="1" applyAlignment="1">
      <alignment horizontal="center" vertical="center"/>
    </xf>
    <xf numFmtId="0" fontId="9" fillId="4" borderId="4" xfId="14" applyFont="1" applyFill="1" applyBorder="1" applyAlignment="1">
      <alignment horizontal="center" vertical="center" wrapText="1"/>
    </xf>
    <xf numFmtId="0" fontId="9" fillId="8" borderId="4" xfId="14" applyFont="1" applyFill="1" applyBorder="1" applyAlignment="1">
      <alignment horizontal="center" vertical="center" wrapText="1"/>
    </xf>
    <xf numFmtId="0" fontId="9" fillId="0" borderId="0" xfId="10" applyFont="1" applyBorder="1" applyAlignment="1">
      <alignment horizontal="center" vertical="top"/>
    </xf>
    <xf numFmtId="0" fontId="9" fillId="0" borderId="4" xfId="10" quotePrefix="1" applyFont="1" applyBorder="1" applyAlignment="1">
      <alignment vertical="top" wrapText="1"/>
    </xf>
    <xf numFmtId="0" fontId="9" fillId="7" borderId="4" xfId="14" applyFont="1" applyFill="1" applyBorder="1" applyAlignment="1">
      <alignment horizontal="center" vertical="center" wrapText="1"/>
    </xf>
    <xf numFmtId="0" fontId="28" fillId="0" borderId="0" xfId="10" applyFont="1" applyBorder="1" applyAlignment="1">
      <alignment horizontal="left" vertical="center"/>
    </xf>
    <xf numFmtId="0" fontId="8" fillId="5" borderId="4" xfId="14" applyFont="1" applyFill="1" applyBorder="1" applyAlignment="1">
      <alignment horizontal="center" vertical="center"/>
    </xf>
    <xf numFmtId="0" fontId="9" fillId="5" borderId="4" xfId="14" applyFont="1" applyFill="1" applyBorder="1">
      <alignment vertical="center"/>
    </xf>
    <xf numFmtId="0" fontId="9" fillId="0" borderId="0" xfId="10" applyFont="1" applyBorder="1" applyAlignment="1">
      <alignment horizontal="right" vertical="top"/>
    </xf>
    <xf numFmtId="0" fontId="9" fillId="5" borderId="0" xfId="14" applyFont="1" applyFill="1" applyBorder="1" applyAlignment="1">
      <alignment horizontal="center" vertical="center"/>
    </xf>
    <xf numFmtId="0" fontId="9" fillId="5" borderId="0" xfId="14" applyFont="1" applyFill="1" applyBorder="1">
      <alignment vertical="center"/>
    </xf>
    <xf numFmtId="0" fontId="9" fillId="7" borderId="4" xfId="10" applyFont="1" applyFill="1" applyBorder="1" applyAlignment="1">
      <alignment horizontal="left" vertical="top"/>
    </xf>
    <xf numFmtId="0" fontId="28" fillId="7" borderId="4" xfId="10" applyFont="1" applyFill="1" applyBorder="1" applyAlignment="1">
      <alignment horizontal="left"/>
    </xf>
    <xf numFmtId="0" fontId="8" fillId="0" borderId="0" xfId="0" applyFont="1" applyBorder="1" applyAlignment="1">
      <alignment vertical="top" wrapText="1"/>
    </xf>
    <xf numFmtId="0" fontId="9" fillId="4" borderId="4" xfId="0" applyFont="1" applyFill="1" applyBorder="1" applyAlignment="1">
      <alignment horizontal="left" vertical="top" wrapText="1"/>
    </xf>
    <xf numFmtId="0" fontId="9" fillId="4" borderId="4" xfId="0" applyFont="1" applyFill="1" applyBorder="1" applyAlignment="1">
      <alignment vertical="top" wrapText="1"/>
    </xf>
    <xf numFmtId="0" fontId="9" fillId="4" borderId="4" xfId="0" applyFont="1" applyFill="1" applyBorder="1" applyAlignment="1">
      <alignment horizontal="center" vertical="top" wrapText="1"/>
    </xf>
    <xf numFmtId="0" fontId="9" fillId="5" borderId="4" xfId="0" applyFont="1" applyFill="1" applyBorder="1" applyAlignment="1">
      <alignment horizontal="left" vertical="top" wrapText="1"/>
    </xf>
    <xf numFmtId="0" fontId="8" fillId="0" borderId="4" xfId="0" applyFont="1" applyBorder="1" applyAlignment="1">
      <alignment horizontal="left" vertical="top" wrapText="1"/>
    </xf>
    <xf numFmtId="0" fontId="8" fillId="0" borderId="4" xfId="0" applyFont="1" applyBorder="1" applyAlignment="1">
      <alignment horizontal="left" vertical="top"/>
    </xf>
    <xf numFmtId="0" fontId="9" fillId="7" borderId="0" xfId="10" applyFont="1" applyFill="1" applyBorder="1" applyAlignment="1">
      <alignment horizontal="left" vertical="top"/>
    </xf>
    <xf numFmtId="0" fontId="28" fillId="7" borderId="0" xfId="10" applyFont="1" applyFill="1" applyBorder="1" applyAlignment="1">
      <alignment horizontal="left"/>
    </xf>
    <xf numFmtId="0" fontId="8" fillId="0" borderId="0" xfId="14" applyFont="1" applyAlignment="1">
      <alignment horizontal="right" vertical="center"/>
    </xf>
    <xf numFmtId="0" fontId="9" fillId="7" borderId="4" xfId="10" applyFont="1" applyFill="1" applyBorder="1" applyAlignment="1" applyProtection="1">
      <alignment horizontal="left"/>
    </xf>
    <xf numFmtId="0" fontId="9" fillId="8" borderId="4" xfId="10" applyFont="1" applyFill="1" applyBorder="1" applyAlignment="1">
      <alignment horizontal="center" vertical="center"/>
    </xf>
    <xf numFmtId="0" fontId="9" fillId="0" borderId="0" xfId="14" applyFont="1" applyBorder="1" applyAlignment="1">
      <alignment horizontal="center" vertical="center"/>
    </xf>
    <xf numFmtId="0" fontId="9" fillId="5" borderId="0" xfId="10" applyFont="1" applyFill="1" applyBorder="1" applyAlignment="1" applyProtection="1">
      <alignment horizontal="left"/>
    </xf>
    <xf numFmtId="0" fontId="9" fillId="0" borderId="0" xfId="15" applyFont="1" applyAlignment="1">
      <alignment horizontal="center" vertical="center"/>
    </xf>
    <xf numFmtId="0" fontId="9" fillId="6" borderId="4" xfId="10" applyFont="1" applyFill="1" applyBorder="1"/>
    <xf numFmtId="0" fontId="9" fillId="0" borderId="0" xfId="10" applyFont="1"/>
    <xf numFmtId="0" fontId="31" fillId="5" borderId="0" xfId="10" applyFont="1" applyFill="1" applyBorder="1" applyAlignment="1">
      <alignment horizontal="center" vertical="center" wrapText="1"/>
    </xf>
    <xf numFmtId="0" fontId="8" fillId="0" borderId="4" xfId="10" applyFont="1" applyFill="1" applyBorder="1" applyAlignment="1" applyProtection="1">
      <alignment vertical="center" wrapText="1"/>
    </xf>
    <xf numFmtId="0" fontId="8" fillId="5" borderId="4" xfId="14" applyFont="1" applyFill="1" applyBorder="1" applyAlignment="1">
      <alignment vertical="center"/>
    </xf>
    <xf numFmtId="0" fontId="8" fillId="0" borderId="4" xfId="10" applyFont="1" applyFill="1" applyBorder="1" applyAlignment="1" applyProtection="1">
      <alignment horizontal="left" vertical="center" wrapText="1"/>
    </xf>
    <xf numFmtId="0" fontId="9" fillId="5" borderId="4" xfId="10" applyFont="1" applyFill="1" applyBorder="1" applyAlignment="1">
      <alignment vertical="center"/>
    </xf>
    <xf numFmtId="0" fontId="29" fillId="0" borderId="0" xfId="10" applyFont="1" applyAlignment="1">
      <alignment vertical="center"/>
    </xf>
    <xf numFmtId="0" fontId="12" fillId="0" borderId="4" xfId="0" applyFont="1" applyFill="1" applyBorder="1" applyAlignment="1" applyProtection="1">
      <alignment vertical="top" wrapText="1"/>
    </xf>
    <xf numFmtId="0" fontId="18" fillId="0" borderId="4" xfId="0" applyFont="1" applyFill="1" applyBorder="1" applyAlignment="1" applyProtection="1">
      <alignment vertical="top" wrapText="1"/>
    </xf>
    <xf numFmtId="0" fontId="18" fillId="0" borderId="4" xfId="0" applyFont="1" applyBorder="1" applyAlignment="1">
      <alignment horizontal="center" vertical="top"/>
    </xf>
    <xf numFmtId="0" fontId="12" fillId="0" borderId="4" xfId="0" applyFont="1" applyFill="1" applyBorder="1" applyAlignment="1" applyProtection="1">
      <alignment horizontal="left" vertical="top" wrapText="1"/>
    </xf>
    <xf numFmtId="0" fontId="9" fillId="0" borderId="0" xfId="14" applyFont="1" applyAlignment="1">
      <alignment vertical="center" wrapText="1"/>
    </xf>
    <xf numFmtId="0" fontId="9" fillId="7" borderId="0" xfId="10" applyFont="1" applyFill="1" applyBorder="1" applyAlignment="1">
      <alignment vertical="center"/>
    </xf>
    <xf numFmtId="0" fontId="10" fillId="0" borderId="0" xfId="10" applyFont="1" applyAlignment="1">
      <alignment vertical="center" wrapText="1"/>
    </xf>
    <xf numFmtId="0" fontId="10" fillId="0" borderId="0" xfId="10" applyFont="1" applyAlignment="1"/>
    <xf numFmtId="0" fontId="8" fillId="0" borderId="0" xfId="10" applyFont="1" applyBorder="1" applyAlignment="1">
      <alignment horizontal="center" vertical="center"/>
    </xf>
    <xf numFmtId="0" fontId="13" fillId="0" borderId="0" xfId="14" applyFont="1" applyAlignment="1">
      <alignment vertical="center"/>
    </xf>
    <xf numFmtId="0" fontId="8" fillId="0" borderId="4" xfId="14" applyFont="1" applyFill="1" applyBorder="1" applyAlignment="1">
      <alignment horizontal="center" vertical="center"/>
    </xf>
    <xf numFmtId="0" fontId="9" fillId="0" borderId="4" xfId="10" applyFont="1" applyFill="1" applyBorder="1" applyAlignment="1">
      <alignment horizontal="center" vertical="center" wrapText="1"/>
    </xf>
    <xf numFmtId="0" fontId="8" fillId="0" borderId="4" xfId="14" applyFont="1" applyBorder="1" applyAlignment="1">
      <alignment vertical="center" wrapText="1"/>
    </xf>
    <xf numFmtId="0" fontId="8" fillId="0" borderId="0" xfId="10" applyFont="1" applyFill="1" applyBorder="1" applyAlignment="1">
      <alignment vertical="top"/>
    </xf>
    <xf numFmtId="0" fontId="28" fillId="0" borderId="0" xfId="10" applyFont="1" applyBorder="1" applyAlignment="1">
      <alignment horizontal="left" vertical="top"/>
    </xf>
    <xf numFmtId="0" fontId="28" fillId="0" borderId="0" xfId="10" applyFont="1" applyBorder="1" applyAlignment="1">
      <alignment horizontal="justify" vertical="top" wrapText="1"/>
    </xf>
    <xf numFmtId="0" fontId="8" fillId="0" borderId="0" xfId="10" applyFont="1" applyBorder="1" applyAlignment="1">
      <alignment horizontal="justify" vertical="top" wrapText="1"/>
    </xf>
    <xf numFmtId="0" fontId="9" fillId="0" borderId="0" xfId="10" applyFont="1" applyBorder="1" applyAlignment="1">
      <alignment vertical="center" wrapText="1"/>
    </xf>
    <xf numFmtId="0" fontId="9" fillId="0" borderId="4" xfId="10" quotePrefix="1" applyFont="1" applyFill="1" applyBorder="1" applyAlignment="1">
      <alignment horizontal="center" vertical="top" wrapText="1"/>
    </xf>
    <xf numFmtId="0" fontId="8" fillId="0" borderId="4" xfId="34" applyFont="1" applyBorder="1">
      <alignment vertical="center"/>
    </xf>
    <xf numFmtId="0" fontId="9" fillId="0" borderId="0" xfId="14" applyFont="1" applyAlignment="1">
      <alignment horizontal="left" vertical="center"/>
    </xf>
    <xf numFmtId="0" fontId="9" fillId="9" borderId="0" xfId="10" applyFont="1" applyFill="1"/>
    <xf numFmtId="0" fontId="8" fillId="9" borderId="0" xfId="10" applyFont="1" applyFill="1"/>
    <xf numFmtId="0" fontId="8" fillId="9" borderId="0" xfId="10" applyFont="1" applyFill="1" applyAlignment="1">
      <alignment vertical="top"/>
    </xf>
    <xf numFmtId="0" fontId="39" fillId="9" borderId="0" xfId="10" applyFont="1" applyFill="1" applyAlignment="1">
      <alignment vertical="top"/>
    </xf>
    <xf numFmtId="0" fontId="9" fillId="0" borderId="4" xfId="14" applyFont="1" applyFill="1" applyBorder="1">
      <alignment vertical="center"/>
    </xf>
    <xf numFmtId="0" fontId="39" fillId="0" borderId="4" xfId="14" applyFont="1" applyFill="1" applyBorder="1">
      <alignment vertical="center"/>
    </xf>
    <xf numFmtId="0" fontId="9" fillId="4" borderId="7" xfId="14" applyFont="1" applyFill="1" applyBorder="1" applyAlignment="1">
      <alignment vertical="center"/>
    </xf>
    <xf numFmtId="0" fontId="9" fillId="4" borderId="7" xfId="10" applyFont="1" applyFill="1" applyBorder="1" applyAlignment="1" applyProtection="1">
      <alignment vertical="center" wrapText="1"/>
    </xf>
    <xf numFmtId="0" fontId="9" fillId="5" borderId="0" xfId="14" applyFont="1" applyFill="1">
      <alignment vertical="center"/>
    </xf>
    <xf numFmtId="0" fontId="8" fillId="5" borderId="0" xfId="14" applyFont="1" applyFill="1">
      <alignment vertical="center"/>
    </xf>
    <xf numFmtId="0" fontId="9" fillId="5" borderId="4" xfId="10" applyFont="1" applyFill="1" applyBorder="1" applyAlignment="1" applyProtection="1">
      <alignment horizontal="center" vertical="center" wrapText="1"/>
    </xf>
    <xf numFmtId="0" fontId="8" fillId="5" borderId="0" xfId="10" applyFont="1" applyFill="1"/>
    <xf numFmtId="0" fontId="40" fillId="10" borderId="4" xfId="10" applyFont="1" applyFill="1" applyBorder="1" applyAlignment="1">
      <alignment horizontal="center" vertical="center" wrapText="1"/>
    </xf>
    <xf numFmtId="0" fontId="8" fillId="0" borderId="0" xfId="10" applyFont="1" applyBorder="1" applyAlignment="1">
      <alignment horizontal="centerContinuous" vertical="center"/>
    </xf>
    <xf numFmtId="0" fontId="9" fillId="0" borderId="0" xfId="10" applyFont="1" applyBorder="1" applyAlignment="1">
      <alignment horizontal="right" vertical="center"/>
    </xf>
    <xf numFmtId="0" fontId="42" fillId="0" borderId="4" xfId="10" applyFont="1" applyBorder="1" applyAlignment="1">
      <alignment horizontal="right" vertical="center"/>
    </xf>
    <xf numFmtId="0" fontId="43" fillId="0" borderId="4" xfId="10" applyFont="1" applyBorder="1" applyAlignment="1">
      <alignment horizontal="right" vertical="center"/>
    </xf>
    <xf numFmtId="0" fontId="42" fillId="0" borderId="4" xfId="10" applyFont="1" applyBorder="1" applyAlignment="1">
      <alignment vertical="center"/>
    </xf>
    <xf numFmtId="0" fontId="43" fillId="0" borderId="0" xfId="10" applyFont="1" applyBorder="1" applyAlignment="1">
      <alignment vertical="center"/>
    </xf>
    <xf numFmtId="0" fontId="42" fillId="0" borderId="0" xfId="10" applyFont="1" applyBorder="1" applyAlignment="1">
      <alignment horizontal="center" vertical="center" wrapText="1"/>
    </xf>
    <xf numFmtId="0" fontId="42" fillId="0" borderId="0" xfId="10" applyFont="1" applyBorder="1" applyAlignment="1">
      <alignment horizontal="right" vertical="center"/>
    </xf>
    <xf numFmtId="0" fontId="43" fillId="0" borderId="0" xfId="10" applyFont="1" applyBorder="1" applyAlignment="1">
      <alignment horizontal="right" vertical="center"/>
    </xf>
    <xf numFmtId="0" fontId="9" fillId="0" borderId="0" xfId="10" applyFont="1" applyAlignment="1">
      <alignment horizontal="center" vertical="center"/>
    </xf>
    <xf numFmtId="0" fontId="9" fillId="4" borderId="4" xfId="14" applyFont="1" applyFill="1" applyBorder="1" applyAlignment="1">
      <alignment horizontal="center" vertical="center" wrapText="1"/>
    </xf>
    <xf numFmtId="0" fontId="9" fillId="0" borderId="0" xfId="0" applyFont="1" applyBorder="1" applyAlignment="1">
      <alignment horizontal="left"/>
    </xf>
    <xf numFmtId="0" fontId="9" fillId="4" borderId="7" xfId="14" applyFont="1" applyFill="1" applyBorder="1" applyAlignment="1">
      <alignment vertical="center" wrapText="1"/>
    </xf>
    <xf numFmtId="0" fontId="9" fillId="4" borderId="4" xfId="14" applyFont="1" applyFill="1" applyBorder="1" applyAlignment="1">
      <alignment horizontal="center" vertical="center" wrapText="1"/>
    </xf>
    <xf numFmtId="0" fontId="8" fillId="0" borderId="0" xfId="10" applyFont="1" applyFill="1" applyBorder="1" applyAlignment="1" applyProtection="1">
      <alignment horizontal="center" vertical="center"/>
    </xf>
    <xf numFmtId="0" fontId="9" fillId="0" borderId="0" xfId="10" applyFont="1" applyFill="1" applyBorder="1" applyAlignment="1" applyProtection="1">
      <alignment horizontal="left" vertical="center" wrapText="1"/>
    </xf>
    <xf numFmtId="0" fontId="9" fillId="0" borderId="0" xfId="10" applyFont="1" applyFill="1" applyBorder="1" applyAlignment="1" applyProtection="1">
      <alignment horizontal="center" vertical="center" wrapText="1"/>
    </xf>
    <xf numFmtId="0" fontId="9" fillId="0" borderId="0" xfId="10" applyFont="1" applyFill="1" applyBorder="1" applyAlignment="1" applyProtection="1">
      <alignment horizontal="left" vertical="center"/>
    </xf>
    <xf numFmtId="0" fontId="9" fillId="4" borderId="4" xfId="14" applyFont="1" applyFill="1" applyBorder="1" applyAlignment="1">
      <alignment horizontal="center" vertical="center" wrapText="1"/>
    </xf>
    <xf numFmtId="0" fontId="9" fillId="0" borderId="0" xfId="14" applyFont="1" applyAlignment="1">
      <alignment horizontal="center" vertical="center"/>
    </xf>
    <xf numFmtId="0" fontId="9" fillId="0" borderId="0" xfId="10" applyFont="1" applyBorder="1" applyAlignment="1">
      <alignment horizontal="center" vertical="center"/>
    </xf>
    <xf numFmtId="0" fontId="10" fillId="0" borderId="0" xfId="10" applyFont="1" applyAlignment="1">
      <alignment horizontal="center" vertical="center"/>
    </xf>
    <xf numFmtId="0" fontId="9" fillId="8" borderId="4" xfId="10" applyFont="1" applyFill="1" applyBorder="1" applyAlignment="1">
      <alignment horizontal="center" vertical="center"/>
    </xf>
    <xf numFmtId="0" fontId="9" fillId="8" borderId="4" xfId="14" applyFont="1" applyFill="1" applyBorder="1" applyAlignment="1">
      <alignment horizontal="center" vertical="center" wrapText="1"/>
    </xf>
    <xf numFmtId="0" fontId="8" fillId="0" borderId="0" xfId="10" applyFont="1" applyAlignment="1">
      <alignment vertical="center" wrapText="1"/>
    </xf>
    <xf numFmtId="0" fontId="8" fillId="0" borderId="0" xfId="14" applyFont="1" applyBorder="1" applyAlignment="1">
      <alignment vertical="center" wrapText="1"/>
    </xf>
    <xf numFmtId="0" fontId="9" fillId="0" borderId="0" xfId="14" applyFont="1" applyBorder="1" applyAlignment="1">
      <alignment vertical="center" wrapText="1"/>
    </xf>
    <xf numFmtId="0" fontId="8" fillId="0" borderId="4" xfId="14" applyFont="1" applyFill="1" applyBorder="1" applyAlignment="1">
      <alignment vertical="center" wrapText="1"/>
    </xf>
    <xf numFmtId="0" fontId="9" fillId="0" borderId="4" xfId="14" applyFont="1" applyBorder="1" applyAlignment="1">
      <alignment vertical="center" wrapText="1"/>
    </xf>
    <xf numFmtId="0" fontId="9" fillId="0" borderId="4" xfId="10" applyFont="1" applyFill="1" applyBorder="1" applyAlignment="1" applyProtection="1">
      <alignment horizontal="left" vertical="top" wrapText="1"/>
    </xf>
    <xf numFmtId="0" fontId="8" fillId="7" borderId="4" xfId="14" applyFont="1" applyFill="1" applyBorder="1" applyAlignment="1">
      <alignment horizontal="center" vertical="center"/>
    </xf>
    <xf numFmtId="0" fontId="9" fillId="0" borderId="4" xfId="14" applyFont="1" applyFill="1" applyBorder="1" applyAlignment="1">
      <alignment vertical="top" wrapText="1"/>
    </xf>
    <xf numFmtId="0" fontId="9" fillId="4" borderId="4" xfId="14" applyFont="1" applyFill="1" applyBorder="1" applyAlignment="1">
      <alignment vertical="center" wrapText="1"/>
    </xf>
    <xf numFmtId="0" fontId="38" fillId="0" borderId="0" xfId="10" applyFont="1" applyAlignment="1">
      <alignment vertical="center"/>
    </xf>
    <xf numFmtId="0" fontId="9" fillId="0" borderId="0" xfId="15" applyFont="1" applyAlignment="1">
      <alignment vertical="center" wrapText="1"/>
    </xf>
    <xf numFmtId="0" fontId="9" fillId="5" borderId="0" xfId="10" applyFont="1" applyFill="1" applyBorder="1" applyAlignment="1">
      <alignment vertical="center" wrapText="1"/>
    </xf>
    <xf numFmtId="0" fontId="9" fillId="5" borderId="0" xfId="10" applyFont="1" applyFill="1" applyBorder="1" applyAlignment="1">
      <alignment horizontal="center" vertical="center"/>
    </xf>
    <xf numFmtId="0" fontId="8" fillId="11" borderId="4" xfId="10" applyFont="1" applyFill="1" applyBorder="1"/>
    <xf numFmtId="0" fontId="8" fillId="11" borderId="4" xfId="14" applyFont="1" applyFill="1" applyBorder="1">
      <alignment vertical="center"/>
    </xf>
    <xf numFmtId="0" fontId="8" fillId="5" borderId="4" xfId="10" applyFont="1" applyFill="1" applyBorder="1" applyAlignment="1" applyProtection="1">
      <alignment horizontal="left" vertical="center" wrapText="1"/>
    </xf>
    <xf numFmtId="0" fontId="10" fillId="0" borderId="0" xfId="10" applyFont="1" applyAlignment="1">
      <alignment horizontal="center" vertical="center" wrapText="1"/>
    </xf>
    <xf numFmtId="0" fontId="9" fillId="0" borderId="0" xfId="14" applyFont="1" applyFill="1" applyBorder="1" applyAlignment="1">
      <alignment horizontal="center" vertical="center"/>
    </xf>
    <xf numFmtId="0" fontId="42" fillId="0" borderId="0" xfId="10" applyFont="1" applyBorder="1" applyAlignment="1">
      <alignment vertical="center" wrapText="1"/>
    </xf>
    <xf numFmtId="0" fontId="9" fillId="8" borderId="7" xfId="10" applyFont="1" applyFill="1" applyBorder="1" applyAlignment="1" applyProtection="1">
      <alignment horizontal="center" vertical="center" wrapText="1"/>
    </xf>
    <xf numFmtId="0" fontId="9" fillId="0" borderId="0" xfId="14" applyFont="1" applyFill="1" applyBorder="1">
      <alignment vertical="center"/>
    </xf>
    <xf numFmtId="0" fontId="8" fillId="0" borderId="0" xfId="14" applyFont="1" applyFill="1" applyBorder="1" applyAlignment="1">
      <alignment horizontal="center" vertical="center"/>
    </xf>
    <xf numFmtId="0" fontId="9" fillId="0" borderId="6" xfId="14" applyFont="1" applyFill="1" applyBorder="1" applyAlignment="1">
      <alignment horizontal="center" vertical="center"/>
    </xf>
    <xf numFmtId="0" fontId="9" fillId="0" borderId="7" xfId="10" applyFont="1" applyFill="1" applyBorder="1" applyAlignment="1" applyProtection="1">
      <alignment horizontal="center" vertical="center" wrapText="1"/>
    </xf>
    <xf numFmtId="0" fontId="31" fillId="0" borderId="0" xfId="14" applyFont="1" applyFill="1" applyAlignment="1">
      <alignment horizontal="center" vertical="center"/>
    </xf>
    <xf numFmtId="0" fontId="18" fillId="7" borderId="4" xfId="34" applyFont="1" applyFill="1" applyBorder="1">
      <alignment vertical="center"/>
    </xf>
    <xf numFmtId="0" fontId="9" fillId="0" borderId="0" xfId="10" applyFont="1" applyBorder="1" applyAlignment="1">
      <alignment horizontal="center" wrapText="1"/>
    </xf>
    <xf numFmtId="0" fontId="9" fillId="0" borderId="0" xfId="10" applyFont="1" applyBorder="1" applyAlignment="1">
      <alignment wrapText="1"/>
    </xf>
    <xf numFmtId="0" fontId="9" fillId="0" borderId="0" xfId="10" applyFont="1" applyBorder="1" applyAlignment="1">
      <alignment vertical="top" wrapText="1"/>
    </xf>
    <xf numFmtId="0" fontId="9" fillId="0" borderId="4" xfId="10" applyFont="1" applyFill="1" applyBorder="1" applyAlignment="1">
      <alignment horizontal="left" vertical="top" wrapText="1"/>
    </xf>
    <xf numFmtId="0" fontId="9" fillId="0" borderId="0" xfId="10" applyFont="1" applyBorder="1" applyAlignment="1">
      <alignment horizontal="center" vertical="center"/>
    </xf>
    <xf numFmtId="0" fontId="9" fillId="0" borderId="0" xfId="14" applyFont="1" applyAlignment="1">
      <alignment horizontal="center" vertical="center"/>
    </xf>
    <xf numFmtId="0" fontId="19" fillId="0" borderId="0" xfId="10" applyAlignment="1">
      <alignment horizontal="center" vertical="center"/>
    </xf>
    <xf numFmtId="0" fontId="9" fillId="4" borderId="4" xfId="14" applyFont="1" applyFill="1" applyBorder="1" applyAlignment="1">
      <alignment horizontal="center" vertical="center" wrapText="1"/>
    </xf>
    <xf numFmtId="16" fontId="9" fillId="4" borderId="4" xfId="10" applyNumberFormat="1" applyFont="1" applyFill="1" applyBorder="1" applyAlignment="1">
      <alignment horizontal="center" vertical="center" wrapText="1"/>
    </xf>
    <xf numFmtId="0" fontId="9" fillId="4" borderId="4" xfId="10" applyFont="1" applyFill="1" applyBorder="1" applyAlignment="1">
      <alignment horizontal="center" vertical="center" wrapText="1"/>
    </xf>
    <xf numFmtId="0" fontId="9" fillId="0" borderId="0" xfId="10" applyFont="1" applyBorder="1" applyAlignment="1">
      <alignment horizontal="center" vertical="center"/>
    </xf>
    <xf numFmtId="0" fontId="9" fillId="4" borderId="4" xfId="14" applyFont="1" applyFill="1" applyBorder="1" applyAlignment="1">
      <alignment horizontal="center" vertical="center" wrapText="1"/>
    </xf>
    <xf numFmtId="0" fontId="9" fillId="4" borderId="4" xfId="10" applyFont="1" applyFill="1" applyBorder="1" applyAlignment="1">
      <alignment horizontal="center" vertical="center"/>
    </xf>
    <xf numFmtId="0" fontId="9" fillId="4" borderId="4" xfId="10" applyFont="1" applyFill="1" applyBorder="1" applyAlignment="1">
      <alignment horizontal="center" vertical="center" wrapText="1"/>
    </xf>
    <xf numFmtId="0" fontId="9" fillId="0" borderId="0" xfId="10" applyFont="1" applyBorder="1" applyAlignment="1">
      <alignment horizontal="center" vertical="center"/>
    </xf>
    <xf numFmtId="0" fontId="8" fillId="0" borderId="4" xfId="0" applyFont="1" applyFill="1" applyBorder="1" applyAlignment="1" applyProtection="1">
      <alignment horizontal="center" vertical="center"/>
    </xf>
    <xf numFmtId="0" fontId="8" fillId="0" borderId="4" xfId="0" applyFont="1" applyBorder="1" applyAlignment="1">
      <alignment vertical="top" wrapText="1"/>
    </xf>
    <xf numFmtId="0" fontId="8" fillId="7" borderId="4" xfId="0" applyFont="1" applyFill="1" applyBorder="1" applyAlignment="1" applyProtection="1">
      <alignment horizontal="left"/>
    </xf>
    <xf numFmtId="0" fontId="0" fillId="7" borderId="4" xfId="0" applyFill="1" applyBorder="1" applyAlignment="1">
      <alignment horizontal="center" wrapText="1"/>
    </xf>
    <xf numFmtId="0" fontId="11" fillId="0" borderId="0" xfId="10" applyFont="1" applyFill="1" applyBorder="1"/>
    <xf numFmtId="0" fontId="30" fillId="0" borderId="0" xfId="10" applyFont="1" applyFill="1" applyBorder="1"/>
    <xf numFmtId="0" fontId="30" fillId="0" borderId="0" xfId="10" applyFont="1" applyFill="1" applyBorder="1" applyAlignment="1"/>
    <xf numFmtId="0" fontId="9" fillId="4" borderId="7" xfId="10" applyFont="1" applyFill="1" applyBorder="1" applyAlignment="1">
      <alignment vertical="center" wrapText="1"/>
    </xf>
    <xf numFmtId="0" fontId="9" fillId="0" borderId="4" xfId="14" applyFont="1" applyFill="1" applyBorder="1" applyAlignment="1">
      <alignment horizontal="center" vertical="center" wrapText="1"/>
    </xf>
    <xf numFmtId="0" fontId="8" fillId="0" borderId="0" xfId="14" applyFont="1" applyFill="1">
      <alignment vertical="center"/>
    </xf>
    <xf numFmtId="0" fontId="8" fillId="7" borderId="0" xfId="14" applyFont="1" applyFill="1" applyBorder="1" applyAlignment="1">
      <alignment horizontal="center" vertical="center"/>
    </xf>
    <xf numFmtId="0" fontId="8" fillId="12" borderId="4" xfId="14" applyFont="1" applyFill="1" applyBorder="1" applyAlignment="1">
      <alignment vertical="center" wrapText="1"/>
    </xf>
    <xf numFmtId="0" fontId="9" fillId="8" borderId="7" xfId="10" applyFont="1" applyFill="1" applyBorder="1" applyAlignment="1" applyProtection="1">
      <alignment horizontal="center" vertical="center" wrapText="1"/>
    </xf>
    <xf numFmtId="0" fontId="44" fillId="0" borderId="0" xfId="14" applyFont="1" applyAlignment="1">
      <alignment vertical="center"/>
    </xf>
    <xf numFmtId="0" fontId="44" fillId="5" borderId="0" xfId="10" applyFont="1" applyFill="1" applyBorder="1" applyAlignment="1">
      <alignment horizontal="left" vertical="top"/>
    </xf>
    <xf numFmtId="0" fontId="44" fillId="0" borderId="0" xfId="14" applyFont="1">
      <alignment vertical="center"/>
    </xf>
    <xf numFmtId="0" fontId="27" fillId="0" borderId="0" xfId="14" applyFont="1">
      <alignment vertical="center"/>
    </xf>
    <xf numFmtId="0" fontId="9" fillId="4" borderId="7" xfId="10" applyFont="1" applyFill="1" applyBorder="1" applyAlignment="1" applyProtection="1">
      <alignment horizontal="center" vertical="center" wrapText="1"/>
    </xf>
    <xf numFmtId="0" fontId="9" fillId="7" borderId="7" xfId="14" applyFont="1" applyFill="1" applyBorder="1" applyAlignment="1">
      <alignment vertical="center"/>
    </xf>
    <xf numFmtId="0" fontId="9" fillId="4" borderId="4" xfId="14" applyFont="1" applyFill="1" applyBorder="1" applyAlignment="1">
      <alignment horizontal="center" vertical="center" wrapText="1"/>
    </xf>
    <xf numFmtId="0" fontId="9" fillId="0" borderId="0" xfId="10" applyFont="1" applyBorder="1" applyAlignment="1">
      <alignment horizontal="center" vertical="center"/>
    </xf>
    <xf numFmtId="0" fontId="9" fillId="5" borderId="0" xfId="10" applyFont="1" applyFill="1" applyBorder="1" applyAlignment="1">
      <alignment horizontal="center"/>
    </xf>
    <xf numFmtId="0" fontId="8" fillId="5" borderId="0" xfId="10" applyFont="1" applyFill="1" applyBorder="1" applyAlignment="1">
      <alignment horizontal="center"/>
    </xf>
    <xf numFmtId="0" fontId="9" fillId="4" borderId="4" xfId="10" applyFont="1" applyFill="1" applyBorder="1" applyAlignment="1">
      <alignment vertical="center"/>
    </xf>
    <xf numFmtId="0" fontId="11" fillId="4" borderId="4" xfId="10" applyFont="1" applyFill="1" applyBorder="1" applyAlignment="1">
      <alignment horizontal="center" vertical="center" wrapText="1"/>
    </xf>
    <xf numFmtId="0" fontId="8" fillId="0" borderId="0" xfId="10" applyFont="1" applyAlignment="1">
      <alignment horizontal="center"/>
    </xf>
    <xf numFmtId="0" fontId="9" fillId="7" borderId="0" xfId="10" applyFont="1" applyFill="1" applyBorder="1" applyAlignment="1">
      <alignment horizontal="center"/>
    </xf>
    <xf numFmtId="0" fontId="33" fillId="0" borderId="4" xfId="0" applyNumberFormat="1" applyFont="1" applyBorder="1"/>
    <xf numFmtId="0" fontId="34" fillId="0" borderId="4" xfId="0" applyNumberFormat="1" applyFont="1" applyBorder="1"/>
    <xf numFmtId="0" fontId="34" fillId="0" borderId="4" xfId="0" applyNumberFormat="1" applyFont="1" applyBorder="1" applyAlignment="1">
      <alignment horizontal="left"/>
    </xf>
    <xf numFmtId="0" fontId="33" fillId="0" borderId="4" xfId="0" applyNumberFormat="1" applyFont="1" applyBorder="1" applyAlignment="1">
      <alignment horizontal="left"/>
    </xf>
    <xf numFmtId="0" fontId="45" fillId="0" borderId="4" xfId="0" applyNumberFormat="1" applyFont="1" applyBorder="1"/>
    <xf numFmtId="0" fontId="8" fillId="0" borderId="0" xfId="10" applyFont="1" applyBorder="1" applyAlignment="1">
      <alignment wrapText="1"/>
    </xf>
    <xf numFmtId="0" fontId="9" fillId="0" borderId="0" xfId="10" applyFont="1" applyBorder="1" applyAlignment="1">
      <alignment horizontal="center" vertical="center"/>
    </xf>
    <xf numFmtId="0" fontId="9" fillId="4" borderId="4" xfId="14" applyFont="1" applyFill="1" applyBorder="1" applyAlignment="1">
      <alignment horizontal="center" vertical="center" wrapText="1"/>
    </xf>
    <xf numFmtId="0" fontId="9" fillId="4" borderId="4" xfId="14" applyFont="1" applyFill="1" applyBorder="1" applyAlignment="1">
      <alignment horizontal="center" vertical="center"/>
    </xf>
    <xf numFmtId="0" fontId="9" fillId="0" borderId="0" xfId="10" applyFont="1" applyBorder="1" applyAlignment="1">
      <alignment horizontal="center" vertical="center"/>
    </xf>
    <xf numFmtId="0" fontId="9" fillId="0" borderId="0" xfId="0" applyFont="1" applyBorder="1" applyAlignment="1">
      <alignment horizontal="left"/>
    </xf>
    <xf numFmtId="0" fontId="9" fillId="8" borderId="4" xfId="10" applyFont="1" applyFill="1" applyBorder="1" applyAlignment="1">
      <alignment horizontal="center" vertical="center"/>
    </xf>
    <xf numFmtId="0" fontId="9" fillId="0" borderId="0" xfId="14" applyFont="1" applyAlignment="1">
      <alignment horizontal="center" vertical="center"/>
    </xf>
    <xf numFmtId="0" fontId="19" fillId="0" borderId="0" xfId="10" applyAlignment="1">
      <alignment horizontal="center" vertical="center"/>
    </xf>
    <xf numFmtId="0" fontId="9" fillId="4" borderId="4" xfId="14" applyFont="1" applyFill="1" applyBorder="1" applyAlignment="1">
      <alignment horizontal="center" vertical="center" wrapText="1"/>
    </xf>
    <xf numFmtId="0" fontId="9" fillId="4" borderId="5" xfId="14" applyFont="1" applyFill="1" applyBorder="1" applyAlignment="1">
      <alignment horizontal="center" vertical="center" wrapText="1"/>
    </xf>
    <xf numFmtId="0" fontId="9" fillId="4" borderId="4" xfId="10" applyFont="1" applyFill="1" applyBorder="1" applyAlignment="1">
      <alignment horizontal="center" vertical="center" wrapText="1"/>
    </xf>
    <xf numFmtId="0" fontId="9" fillId="8" borderId="4" xfId="14" applyFont="1" applyFill="1" applyBorder="1" applyAlignment="1">
      <alignment horizontal="center" vertical="center" wrapText="1"/>
    </xf>
    <xf numFmtId="0" fontId="9" fillId="0" borderId="4" xfId="10" applyFont="1" applyBorder="1" applyAlignment="1">
      <alignment vertical="center"/>
    </xf>
    <xf numFmtId="0" fontId="9" fillId="4" borderId="5" xfId="14" applyFont="1" applyFill="1" applyBorder="1" applyAlignment="1">
      <alignment horizontal="center" vertical="center" wrapText="1"/>
    </xf>
    <xf numFmtId="0" fontId="9" fillId="4" borderId="4" xfId="14" applyFont="1" applyFill="1" applyBorder="1" applyAlignment="1">
      <alignment horizontal="center" vertical="center" wrapText="1"/>
    </xf>
    <xf numFmtId="0" fontId="9" fillId="4" borderId="4" xfId="14" applyFont="1" applyFill="1" applyBorder="1" applyAlignment="1">
      <alignment horizontal="center" vertical="center"/>
    </xf>
    <xf numFmtId="16" fontId="9" fillId="4" borderId="4" xfId="10" applyNumberFormat="1" applyFont="1" applyFill="1" applyBorder="1" applyAlignment="1">
      <alignment horizontal="center" vertical="center" wrapText="1"/>
    </xf>
    <xf numFmtId="0" fontId="9" fillId="4" borderId="4" xfId="10" applyFont="1" applyFill="1" applyBorder="1" applyAlignment="1">
      <alignment horizontal="center" vertical="center" wrapText="1"/>
    </xf>
    <xf numFmtId="0" fontId="9" fillId="0" borderId="0" xfId="10" applyFont="1" applyBorder="1" applyAlignment="1">
      <alignment horizontal="center" vertical="center"/>
    </xf>
    <xf numFmtId="0" fontId="9" fillId="0" borderId="0" xfId="0" applyFont="1" applyBorder="1" applyAlignment="1">
      <alignment horizontal="left"/>
    </xf>
    <xf numFmtId="0" fontId="9" fillId="0" borderId="0" xfId="14" applyFont="1" applyAlignment="1">
      <alignment horizontal="center" vertical="center"/>
    </xf>
    <xf numFmtId="0" fontId="40" fillId="10" borderId="4" xfId="10" applyFont="1" applyFill="1" applyBorder="1" applyAlignment="1">
      <alignment horizontal="center" vertical="center" wrapText="1"/>
    </xf>
    <xf numFmtId="0" fontId="9" fillId="8" borderId="4" xfId="14" applyFont="1" applyFill="1" applyBorder="1" applyAlignment="1">
      <alignment horizontal="center" vertical="center" wrapText="1"/>
    </xf>
    <xf numFmtId="0" fontId="8" fillId="0" borderId="0" xfId="0" applyFont="1" applyBorder="1"/>
    <xf numFmtId="0" fontId="9" fillId="0" borderId="0" xfId="10" applyFont="1" applyFill="1" applyBorder="1" applyAlignment="1">
      <alignment horizontal="center" vertical="center" wrapText="1"/>
    </xf>
    <xf numFmtId="0" fontId="8" fillId="0" borderId="0" xfId="10" quotePrefix="1" applyFont="1" applyFill="1" applyBorder="1" applyAlignment="1">
      <alignment horizontal="center" vertical="top" wrapText="1"/>
    </xf>
    <xf numFmtId="0" fontId="28" fillId="0" borderId="0" xfId="10" applyFont="1" applyFill="1" applyBorder="1" applyAlignment="1">
      <alignment horizontal="left"/>
    </xf>
    <xf numFmtId="0" fontId="8" fillId="0" borderId="5" xfId="14" applyFont="1" applyBorder="1">
      <alignment vertical="center"/>
    </xf>
    <xf numFmtId="0" fontId="8" fillId="5" borderId="5" xfId="14" applyFont="1" applyFill="1" applyBorder="1">
      <alignment vertical="center"/>
    </xf>
    <xf numFmtId="0" fontId="9" fillId="0" borderId="0" xfId="14" applyFont="1" applyFill="1" applyBorder="1" applyAlignment="1">
      <alignment horizontal="center" vertical="center" wrapText="1"/>
    </xf>
    <xf numFmtId="0" fontId="8" fillId="0" borderId="0" xfId="14" applyFont="1" applyFill="1" applyBorder="1" applyAlignment="1">
      <alignment vertical="center"/>
    </xf>
    <xf numFmtId="0" fontId="9" fillId="8" borderId="5" xfId="14" applyFont="1" applyFill="1" applyBorder="1" applyAlignment="1">
      <alignment vertical="center" wrapText="1"/>
    </xf>
    <xf numFmtId="0" fontId="9" fillId="8" borderId="3" xfId="14" applyFont="1" applyFill="1" applyBorder="1" applyAlignment="1">
      <alignment vertical="center" wrapText="1"/>
    </xf>
    <xf numFmtId="0" fontId="9" fillId="0" borderId="0" xfId="10" applyFont="1" applyBorder="1" applyAlignment="1">
      <alignment horizontal="center" vertical="center"/>
    </xf>
    <xf numFmtId="0" fontId="8" fillId="0" borderId="0" xfId="63" applyFont="1">
      <alignment vertical="center"/>
    </xf>
    <xf numFmtId="0" fontId="9" fillId="4" borderId="4" xfId="63" applyFont="1" applyFill="1" applyBorder="1" applyAlignment="1">
      <alignment horizontal="center" vertical="center"/>
    </xf>
    <xf numFmtId="0" fontId="9" fillId="4" borderId="4" xfId="63" applyFont="1" applyFill="1" applyBorder="1" applyAlignment="1">
      <alignment horizontal="center" vertical="center" wrapText="1"/>
    </xf>
    <xf numFmtId="0" fontId="9" fillId="7" borderId="0" xfId="14" applyFont="1" applyFill="1" applyBorder="1" applyAlignment="1">
      <alignment horizontal="center" vertical="center" wrapText="1"/>
    </xf>
    <xf numFmtId="0" fontId="8" fillId="0" borderId="4" xfId="10" applyFont="1" applyFill="1" applyBorder="1" applyAlignment="1" applyProtection="1">
      <alignment horizontal="center" vertical="center" wrapText="1"/>
    </xf>
    <xf numFmtId="0" fontId="8" fillId="0" borderId="0" xfId="0" applyFont="1" applyAlignment="1">
      <alignment vertical="center"/>
    </xf>
    <xf numFmtId="0" fontId="9" fillId="7" borderId="0" xfId="10" applyFont="1" applyFill="1" applyBorder="1" applyAlignment="1" applyProtection="1">
      <alignment horizontal="left"/>
    </xf>
    <xf numFmtId="0" fontId="8" fillId="0" borderId="0" xfId="27" applyFont="1" applyBorder="1" applyAlignment="1"/>
    <xf numFmtId="0" fontId="8" fillId="0" borderId="0" xfId="27" applyFont="1" applyBorder="1" applyAlignment="1">
      <alignment vertical="top"/>
    </xf>
    <xf numFmtId="0" fontId="8" fillId="0" borderId="4" xfId="63" applyFont="1" applyBorder="1">
      <alignment vertical="center"/>
    </xf>
    <xf numFmtId="0" fontId="34" fillId="0" borderId="4" xfId="19" applyFont="1" applyBorder="1" applyAlignment="1">
      <alignment horizontal="left" vertical="center"/>
    </xf>
    <xf numFmtId="0" fontId="8" fillId="0" borderId="4" xfId="63" applyFont="1" applyBorder="1" applyAlignment="1">
      <alignment vertical="center"/>
    </xf>
    <xf numFmtId="0" fontId="34" fillId="0" borderId="4" xfId="19" applyFont="1" applyFill="1" applyBorder="1" applyAlignment="1">
      <alignment horizontal="left" vertical="center"/>
    </xf>
    <xf numFmtId="0" fontId="8" fillId="8" borderId="0" xfId="63" applyFont="1" applyFill="1">
      <alignment vertical="center"/>
    </xf>
    <xf numFmtId="0" fontId="8" fillId="8" borderId="4" xfId="63" applyFont="1" applyFill="1" applyBorder="1">
      <alignment vertical="center"/>
    </xf>
    <xf numFmtId="0" fontId="8" fillId="5" borderId="0" xfId="10" applyFont="1" applyFill="1" applyBorder="1" applyAlignment="1">
      <alignment vertical="center"/>
    </xf>
    <xf numFmtId="0" fontId="9" fillId="4" borderId="4" xfId="63" applyFont="1" applyFill="1" applyBorder="1" applyAlignment="1">
      <alignment horizontal="center" vertical="center" wrapText="1"/>
    </xf>
    <xf numFmtId="0" fontId="8" fillId="0" borderId="0" xfId="34" applyFont="1">
      <alignment vertical="center"/>
    </xf>
    <xf numFmtId="0" fontId="8" fillId="0" borderId="0" xfId="27" applyFont="1" applyBorder="1"/>
    <xf numFmtId="0" fontId="8" fillId="0" borderId="0" xfId="27" applyFont="1"/>
    <xf numFmtId="0" fontId="9" fillId="4" borderId="4" xfId="63" applyFont="1" applyFill="1" applyBorder="1" applyAlignment="1">
      <alignment horizontal="center" vertical="center" wrapText="1"/>
    </xf>
    <xf numFmtId="0" fontId="8" fillId="0" borderId="0" xfId="14" applyFont="1" applyAlignment="1">
      <alignment horizontal="left" vertical="center" wrapText="1"/>
    </xf>
    <xf numFmtId="0" fontId="9" fillId="4" borderId="4" xfId="63" applyFont="1" applyFill="1" applyBorder="1" applyAlignment="1">
      <alignment horizontal="center" vertical="center" wrapText="1"/>
    </xf>
    <xf numFmtId="0" fontId="9" fillId="4" borderId="4" xfId="14" applyFont="1" applyFill="1" applyBorder="1" applyAlignment="1">
      <alignment horizontal="center" vertical="center" wrapText="1"/>
    </xf>
    <xf numFmtId="16" fontId="9" fillId="4" borderId="4" xfId="10" applyNumberFormat="1" applyFont="1" applyFill="1" applyBorder="1" applyAlignment="1">
      <alignment horizontal="center" vertical="center" wrapText="1"/>
    </xf>
    <xf numFmtId="0" fontId="9" fillId="4" borderId="4" xfId="10" applyFont="1" applyFill="1" applyBorder="1" applyAlignment="1">
      <alignment horizontal="center" vertical="center" wrapText="1"/>
    </xf>
    <xf numFmtId="0" fontId="9" fillId="0" borderId="7" xfId="10" applyFont="1" applyBorder="1" applyAlignment="1">
      <alignment horizontal="center"/>
    </xf>
    <xf numFmtId="0" fontId="9" fillId="0" borderId="9" xfId="10" applyFont="1" applyBorder="1" applyAlignment="1">
      <alignment horizontal="center"/>
    </xf>
    <xf numFmtId="0" fontId="9" fillId="0" borderId="0" xfId="10" applyFont="1" applyBorder="1" applyAlignment="1">
      <alignment horizontal="center" vertical="center"/>
    </xf>
    <xf numFmtId="0" fontId="9" fillId="0" borderId="0" xfId="0" applyFont="1" applyBorder="1" applyAlignment="1">
      <alignment horizontal="left"/>
    </xf>
    <xf numFmtId="0" fontId="9" fillId="4" borderId="4" xfId="14" applyFont="1" applyFill="1" applyBorder="1" applyAlignment="1">
      <alignment horizontal="center" vertical="center"/>
    </xf>
    <xf numFmtId="2" fontId="9" fillId="0" borderId="4" xfId="10" applyNumberFormat="1" applyFont="1" applyBorder="1"/>
    <xf numFmtId="0" fontId="48" fillId="0" borderId="0" xfId="0" applyFont="1"/>
    <xf numFmtId="0" fontId="42" fillId="0" borderId="4" xfId="0" applyFont="1" applyFill="1" applyBorder="1" applyAlignment="1" applyProtection="1">
      <alignment vertical="top" wrapText="1"/>
    </xf>
    <xf numFmtId="166" fontId="42" fillId="0" borderId="4" xfId="26" applyFont="1" applyBorder="1" applyAlignment="1">
      <alignment horizontal="right"/>
    </xf>
    <xf numFmtId="166" fontId="42" fillId="0" borderId="4" xfId="26" applyFont="1" applyBorder="1" applyAlignment="1">
      <alignment horizontal="right" vertical="top"/>
    </xf>
    <xf numFmtId="0" fontId="42" fillId="0" borderId="4" xfId="0" applyFont="1" applyFill="1" applyBorder="1" applyAlignment="1" applyProtection="1">
      <alignment horizontal="left" vertical="top" wrapText="1"/>
    </xf>
    <xf numFmtId="0" fontId="40" fillId="0" borderId="4" xfId="0" applyFont="1" applyBorder="1" applyAlignment="1">
      <alignment vertical="top"/>
    </xf>
    <xf numFmtId="166" fontId="40" fillId="0" borderId="4" xfId="26" applyFont="1" applyBorder="1" applyAlignment="1">
      <alignment horizontal="right"/>
    </xf>
    <xf numFmtId="2" fontId="48" fillId="0" borderId="0" xfId="0" applyNumberFormat="1" applyFont="1"/>
    <xf numFmtId="166" fontId="48" fillId="0" borderId="0" xfId="0" applyNumberFormat="1" applyFont="1"/>
    <xf numFmtId="0" fontId="40" fillId="0" borderId="4" xfId="0" applyFont="1" applyFill="1" applyBorder="1" applyAlignment="1" applyProtection="1">
      <alignment vertical="top" wrapText="1"/>
    </xf>
    <xf numFmtId="166" fontId="40" fillId="0" borderId="4" xfId="26" applyFont="1" applyBorder="1" applyAlignment="1">
      <alignment horizontal="right" vertical="top"/>
    </xf>
    <xf numFmtId="0" fontId="49" fillId="0" borderId="0" xfId="0" applyFont="1"/>
    <xf numFmtId="0" fontId="46" fillId="0" borderId="4" xfId="0" applyFont="1" applyFill="1" applyBorder="1" applyAlignment="1">
      <alignment horizontal="left"/>
    </xf>
    <xf numFmtId="0" fontId="48" fillId="0" borderId="4" xfId="66" applyFont="1" applyFill="1" applyBorder="1"/>
    <xf numFmtId="0" fontId="49" fillId="0" borderId="4" xfId="66" applyFont="1" applyFill="1" applyBorder="1"/>
    <xf numFmtId="0" fontId="48" fillId="7" borderId="4" xfId="66" applyFont="1" applyFill="1" applyBorder="1"/>
    <xf numFmtId="0" fontId="49" fillId="7" borderId="4" xfId="66" applyFont="1" applyFill="1" applyBorder="1"/>
    <xf numFmtId="0" fontId="48" fillId="7" borderId="4" xfId="66" applyFont="1" applyFill="1" applyBorder="1" applyAlignment="1">
      <alignment horizontal="center"/>
    </xf>
    <xf numFmtId="0" fontId="40" fillId="0" borderId="4" xfId="0" applyFont="1" applyFill="1" applyBorder="1" applyAlignment="1" applyProtection="1">
      <alignment horizontal="left" vertical="top"/>
    </xf>
    <xf numFmtId="0" fontId="40" fillId="0" borderId="4" xfId="0" applyFont="1" applyFill="1" applyBorder="1" applyAlignment="1" applyProtection="1">
      <alignment vertical="top"/>
    </xf>
    <xf numFmtId="2" fontId="9" fillId="7" borderId="4" xfId="14" applyNumberFormat="1" applyFont="1" applyFill="1" applyBorder="1">
      <alignment vertical="center"/>
    </xf>
    <xf numFmtId="2" fontId="8" fillId="7" borderId="4" xfId="14" applyNumberFormat="1" applyFont="1" applyFill="1" applyBorder="1">
      <alignment vertical="center"/>
    </xf>
    <xf numFmtId="166" fontId="9" fillId="0" borderId="4" xfId="10" applyNumberFormat="1" applyFont="1" applyBorder="1"/>
    <xf numFmtId="166" fontId="8" fillId="0" borderId="4" xfId="10" applyNumberFormat="1" applyFont="1" applyBorder="1"/>
    <xf numFmtId="166" fontId="9" fillId="0" borderId="4" xfId="10" applyNumberFormat="1" applyFont="1" applyBorder="1" applyAlignment="1"/>
    <xf numFmtId="2" fontId="9" fillId="0" borderId="4" xfId="10" applyNumberFormat="1" applyFont="1" applyBorder="1" applyAlignment="1">
      <alignment vertical="top" wrapText="1"/>
    </xf>
    <xf numFmtId="2" fontId="8" fillId="0" borderId="4" xfId="10" applyNumberFormat="1" applyFont="1" applyBorder="1" applyAlignment="1">
      <alignment vertical="top" wrapText="1"/>
    </xf>
    <xf numFmtId="2" fontId="8" fillId="0" borderId="4" xfId="10" applyNumberFormat="1" applyFont="1" applyBorder="1"/>
    <xf numFmtId="2" fontId="9" fillId="0" borderId="4" xfId="10" applyNumberFormat="1" applyFont="1" applyBorder="1" applyAlignment="1"/>
    <xf numFmtId="166" fontId="9" fillId="0" borderId="4" xfId="10" applyNumberFormat="1" applyFont="1" applyBorder="1" applyAlignment="1">
      <alignment vertical="top" wrapText="1"/>
    </xf>
    <xf numFmtId="166" fontId="8" fillId="0" borderId="4" xfId="10" applyNumberFormat="1" applyFont="1" applyBorder="1" applyAlignment="1">
      <alignment vertical="top" wrapText="1"/>
    </xf>
    <xf numFmtId="166" fontId="11" fillId="0" borderId="4" xfId="10" applyNumberFormat="1" applyFont="1" applyFill="1" applyBorder="1"/>
    <xf numFmtId="166" fontId="9" fillId="7" borderId="4" xfId="14" applyNumberFormat="1" applyFont="1" applyFill="1" applyBorder="1" applyAlignment="1">
      <alignment horizontal="center" vertical="center" wrapText="1"/>
    </xf>
    <xf numFmtId="166" fontId="8" fillId="7" borderId="4" xfId="14" applyNumberFormat="1" applyFont="1" applyFill="1" applyBorder="1" applyAlignment="1">
      <alignment horizontal="center" vertical="center" wrapText="1"/>
    </xf>
    <xf numFmtId="166" fontId="9" fillId="0" borderId="4" xfId="64" applyFont="1" applyBorder="1"/>
    <xf numFmtId="2" fontId="8" fillId="7" borderId="4" xfId="14" applyNumberFormat="1" applyFont="1" applyFill="1" applyBorder="1" applyAlignment="1">
      <alignment horizontal="center" vertical="center"/>
    </xf>
    <xf numFmtId="0" fontId="8" fillId="7" borderId="4" xfId="14" applyFont="1" applyFill="1" applyBorder="1" applyAlignment="1">
      <alignment horizontal="center" vertical="center" wrapText="1"/>
    </xf>
    <xf numFmtId="2" fontId="8" fillId="0" borderId="0" xfId="14" applyNumberFormat="1" applyFont="1">
      <alignment vertical="center"/>
    </xf>
    <xf numFmtId="10" fontId="8" fillId="0" borderId="0" xfId="65" applyNumberFormat="1" applyFont="1" applyAlignment="1">
      <alignment vertical="center"/>
    </xf>
    <xf numFmtId="0" fontId="48" fillId="15" borderId="0" xfId="0" applyFont="1" applyFill="1"/>
    <xf numFmtId="0" fontId="49" fillId="15" borderId="0" xfId="0" applyFont="1" applyFill="1"/>
    <xf numFmtId="17" fontId="48" fillId="0" borderId="0" xfId="0" applyNumberFormat="1" applyFont="1"/>
    <xf numFmtId="10" fontId="48" fillId="0" borderId="0" xfId="0" applyNumberFormat="1" applyFont="1"/>
    <xf numFmtId="2" fontId="9" fillId="0" borderId="4" xfId="14" applyNumberFormat="1" applyFont="1" applyBorder="1" applyAlignment="1">
      <alignment horizontal="center" vertical="center"/>
    </xf>
    <xf numFmtId="166" fontId="34" fillId="0" borderId="4" xfId="64" applyFont="1" applyBorder="1"/>
    <xf numFmtId="166" fontId="8" fillId="0" borderId="4" xfId="64" applyFont="1" applyBorder="1" applyAlignment="1">
      <alignment vertical="center"/>
    </xf>
    <xf numFmtId="166" fontId="33" fillId="0" borderId="4" xfId="64" applyFont="1" applyBorder="1"/>
    <xf numFmtId="166" fontId="9" fillId="0" borderId="4" xfId="64" applyFont="1" applyBorder="1" applyAlignment="1">
      <alignment vertical="center"/>
    </xf>
    <xf numFmtId="10" fontId="34" fillId="0" borderId="4" xfId="64" applyNumberFormat="1" applyFont="1" applyBorder="1"/>
    <xf numFmtId="10" fontId="8" fillId="0" borderId="4" xfId="64" applyNumberFormat="1" applyFont="1" applyBorder="1" applyAlignment="1">
      <alignment vertical="center"/>
    </xf>
    <xf numFmtId="166" fontId="8" fillId="0" borderId="4" xfId="26" applyFont="1" applyBorder="1" applyAlignment="1">
      <alignment vertical="center"/>
    </xf>
    <xf numFmtId="166" fontId="9" fillId="0" borderId="4" xfId="26" applyFont="1" applyBorder="1" applyAlignment="1">
      <alignment horizontal="left" vertical="center"/>
    </xf>
    <xf numFmtId="166" fontId="8" fillId="0" borderId="4" xfId="26" applyFont="1" applyBorder="1" applyAlignment="1">
      <alignment horizontal="right" vertical="center"/>
    </xf>
    <xf numFmtId="0" fontId="8" fillId="0" borderId="4" xfId="14" applyFont="1" applyFill="1" applyBorder="1" applyAlignment="1">
      <alignment horizontal="left" vertical="top" wrapText="1"/>
    </xf>
    <xf numFmtId="166" fontId="8" fillId="0" borderId="0" xfId="26" applyFont="1" applyBorder="1" applyAlignment="1">
      <alignment vertical="center"/>
    </xf>
    <xf numFmtId="0" fontId="51" fillId="13" borderId="4" xfId="0" applyFont="1" applyFill="1" applyBorder="1" applyAlignment="1">
      <alignment horizontal="center" vertical="center" wrapText="1"/>
    </xf>
    <xf numFmtId="179" fontId="51" fillId="13" borderId="4" xfId="0" applyNumberFormat="1" applyFont="1" applyFill="1" applyBorder="1" applyAlignment="1">
      <alignment horizontal="center" vertical="center" wrapText="1"/>
    </xf>
    <xf numFmtId="166" fontId="50" fillId="0" borderId="4" xfId="135" applyFont="1" applyFill="1" applyBorder="1" applyAlignment="1">
      <alignment horizontal="left"/>
    </xf>
    <xf numFmtId="166" fontId="50" fillId="0" borderId="4" xfId="135" applyFont="1" applyFill="1" applyBorder="1"/>
    <xf numFmtId="179" fontId="50" fillId="0" borderId="4" xfId="135" applyNumberFormat="1" applyFont="1" applyBorder="1"/>
    <xf numFmtId="0" fontId="51" fillId="13" borderId="8" xfId="0" applyFont="1" applyFill="1" applyBorder="1" applyAlignment="1">
      <alignment vertical="center"/>
    </xf>
    <xf numFmtId="0" fontId="51" fillId="13" borderId="4" xfId="0" applyNumberFormat="1" applyFont="1" applyFill="1" applyBorder="1" applyAlignment="1">
      <alignment horizontal="center" vertical="center"/>
    </xf>
    <xf numFmtId="179" fontId="51" fillId="13" borderId="4" xfId="135" applyNumberFormat="1" applyFont="1" applyFill="1" applyBorder="1" applyAlignment="1">
      <alignment horizontal="center" vertical="center"/>
    </xf>
    <xf numFmtId="0" fontId="49" fillId="0" borderId="0" xfId="0" applyFont="1" applyFill="1"/>
    <xf numFmtId="17" fontId="49" fillId="0" borderId="0" xfId="0" applyNumberFormat="1" applyFont="1" applyFill="1"/>
    <xf numFmtId="166" fontId="50" fillId="0" borderId="4" xfId="135" applyFont="1" applyBorder="1"/>
    <xf numFmtId="166" fontId="51" fillId="13" borderId="4" xfId="135" applyFont="1" applyFill="1" applyBorder="1" applyAlignment="1">
      <alignment horizontal="center" vertical="center"/>
    </xf>
    <xf numFmtId="0" fontId="48" fillId="0" borderId="0" xfId="0" applyFont="1" applyFill="1"/>
    <xf numFmtId="0" fontId="51" fillId="59" borderId="4" xfId="0" applyFont="1" applyFill="1" applyBorder="1" applyAlignment="1">
      <alignment horizontal="center" vertical="center" wrapText="1"/>
    </xf>
    <xf numFmtId="179" fontId="51" fillId="59" borderId="4" xfId="0" applyNumberFormat="1" applyFont="1" applyFill="1" applyBorder="1" applyAlignment="1">
      <alignment horizontal="center" vertical="center" wrapText="1"/>
    </xf>
    <xf numFmtId="0" fontId="48" fillId="59" borderId="0" xfId="0" applyFont="1" applyFill="1"/>
    <xf numFmtId="0" fontId="51" fillId="59" borderId="8" xfId="0" applyFont="1" applyFill="1" applyBorder="1" applyAlignment="1">
      <alignment vertical="center"/>
    </xf>
    <xf numFmtId="179" fontId="51" fillId="59" borderId="4" xfId="135" applyNumberFormat="1" applyFont="1" applyFill="1" applyBorder="1" applyAlignment="1">
      <alignment horizontal="center" vertical="center"/>
    </xf>
    <xf numFmtId="0" fontId="50" fillId="0" borderId="4" xfId="0" applyFont="1" applyFill="1" applyBorder="1" applyAlignment="1">
      <alignment horizontal="left"/>
    </xf>
    <xf numFmtId="0" fontId="50" fillId="0" borderId="4" xfId="0" applyNumberFormat="1" applyFont="1" applyFill="1" applyBorder="1"/>
    <xf numFmtId="0" fontId="50" fillId="0" borderId="4" xfId="0" applyNumberFormat="1" applyFont="1" applyBorder="1"/>
    <xf numFmtId="2" fontId="50" fillId="0" borderId="4" xfId="0" applyNumberFormat="1" applyFont="1" applyBorder="1"/>
    <xf numFmtId="2" fontId="51" fillId="13" borderId="4" xfId="0" applyNumberFormat="1" applyFont="1" applyFill="1" applyBorder="1" applyAlignment="1">
      <alignment horizontal="center" vertical="center"/>
    </xf>
    <xf numFmtId="1" fontId="51" fillId="13" borderId="4" xfId="0" applyNumberFormat="1" applyFont="1" applyFill="1" applyBorder="1" applyAlignment="1">
      <alignment horizontal="center" vertical="center"/>
    </xf>
    <xf numFmtId="0" fontId="51" fillId="0" borderId="4" xfId="0" applyFont="1" applyFill="1" applyBorder="1" applyAlignment="1">
      <alignment horizontal="center" vertical="center" wrapText="1"/>
    </xf>
    <xf numFmtId="0" fontId="51" fillId="0" borderId="5" xfId="0" applyFont="1" applyFill="1" applyBorder="1" applyAlignment="1">
      <alignment vertical="center"/>
    </xf>
    <xf numFmtId="0" fontId="51" fillId="0" borderId="4" xfId="0" applyNumberFormat="1" applyFont="1" applyFill="1" applyBorder="1" applyAlignment="1">
      <alignment horizontal="center" vertical="center"/>
    </xf>
    <xf numFmtId="0" fontId="50" fillId="13" borderId="4" xfId="0" applyFont="1" applyFill="1" applyBorder="1" applyAlignment="1">
      <alignment horizontal="left"/>
    </xf>
    <xf numFmtId="0" fontId="50" fillId="0" borderId="4" xfId="0" applyFont="1" applyBorder="1" applyAlignment="1">
      <alignment horizontal="left"/>
    </xf>
    <xf numFmtId="0" fontId="51" fillId="13" borderId="8" xfId="0" applyFont="1" applyFill="1" applyBorder="1" applyAlignment="1"/>
    <xf numFmtId="0" fontId="51" fillId="13" borderId="4" xfId="0" applyNumberFormat="1" applyFont="1" applyFill="1" applyBorder="1"/>
    <xf numFmtId="2" fontId="51" fillId="13" borderId="4" xfId="0" applyNumberFormat="1" applyFont="1" applyFill="1" applyBorder="1"/>
    <xf numFmtId="0" fontId="51" fillId="13" borderId="0" xfId="0" applyFont="1" applyFill="1" applyBorder="1" applyAlignment="1"/>
    <xf numFmtId="0" fontId="51" fillId="13" borderId="0" xfId="0" applyNumberFormat="1" applyFont="1" applyFill="1" applyBorder="1"/>
    <xf numFmtId="2" fontId="101" fillId="7" borderId="0" xfId="10" applyNumberFormat="1" applyFont="1" applyFill="1" applyBorder="1" applyAlignment="1">
      <alignment horizontal="center"/>
    </xf>
    <xf numFmtId="2" fontId="8" fillId="7" borderId="0" xfId="10" applyNumberFormat="1" applyFont="1" applyFill="1" applyBorder="1"/>
    <xf numFmtId="170" fontId="8" fillId="0" borderId="0" xfId="0" applyNumberFormat="1" applyFont="1" applyAlignment="1">
      <alignment vertical="center"/>
    </xf>
    <xf numFmtId="2" fontId="8" fillId="0" borderId="0" xfId="0" applyNumberFormat="1" applyFont="1" applyAlignment="1">
      <alignment horizontal="right" vertical="center"/>
    </xf>
    <xf numFmtId="0" fontId="9" fillId="0" borderId="4" xfId="0" applyFont="1" applyFill="1" applyBorder="1" applyAlignment="1">
      <alignment horizontal="left" vertical="top" wrapText="1"/>
    </xf>
    <xf numFmtId="0" fontId="8" fillId="0" borderId="4" xfId="10" quotePrefix="1" applyFont="1" applyFill="1" applyBorder="1" applyAlignment="1">
      <alignment horizontal="center" vertical="top" wrapText="1"/>
    </xf>
    <xf numFmtId="0" fontId="8" fillId="0" borderId="4" xfId="10" applyFont="1" applyFill="1" applyBorder="1" applyAlignment="1">
      <alignment horizontal="center" vertical="top" wrapText="1"/>
    </xf>
    <xf numFmtId="0" fontId="8" fillId="0" borderId="4" xfId="10" applyFont="1" applyFill="1" applyBorder="1" applyAlignment="1">
      <alignment horizontal="right" vertical="center"/>
    </xf>
    <xf numFmtId="0" fontId="8" fillId="0" borderId="4" xfId="0" applyFont="1" applyFill="1" applyBorder="1" applyAlignment="1">
      <alignment horizontal="left" vertical="center" wrapText="1"/>
    </xf>
    <xf numFmtId="166" fontId="8" fillId="0" borderId="4" xfId="134" applyFont="1" applyFill="1" applyBorder="1" applyAlignment="1">
      <alignment horizontal="right" vertical="center"/>
    </xf>
    <xf numFmtId="10" fontId="102" fillId="0" borderId="4" xfId="10" applyNumberFormat="1" applyFont="1" applyFill="1" applyBorder="1" applyAlignment="1"/>
    <xf numFmtId="0" fontId="8" fillId="0" borderId="4" xfId="10" applyFont="1" applyFill="1" applyBorder="1" applyAlignment="1">
      <alignment horizontal="right" vertical="center" wrapText="1"/>
    </xf>
    <xf numFmtId="166" fontId="8" fillId="0" borderId="4" xfId="134" applyFont="1" applyFill="1" applyBorder="1" applyAlignment="1">
      <alignment vertical="center"/>
    </xf>
    <xf numFmtId="10" fontId="8" fillId="0" borderId="4" xfId="409" applyNumberFormat="1" applyFont="1" applyFill="1" applyBorder="1" applyAlignment="1">
      <alignment horizontal="right" vertical="center"/>
    </xf>
    <xf numFmtId="0" fontId="30" fillId="0" borderId="4" xfId="10" applyFont="1" applyFill="1" applyBorder="1" applyAlignment="1">
      <alignment horizontal="right" vertical="center"/>
    </xf>
    <xf numFmtId="166" fontId="30" fillId="0" borderId="4" xfId="134" applyFont="1" applyFill="1" applyBorder="1" applyAlignment="1">
      <alignment horizontal="right" vertical="center"/>
    </xf>
    <xf numFmtId="10" fontId="8" fillId="0" borderId="4" xfId="10" applyNumberFormat="1" applyFont="1" applyFill="1" applyBorder="1" applyAlignment="1">
      <alignment horizontal="right" vertical="center"/>
    </xf>
    <xf numFmtId="0" fontId="9" fillId="0" borderId="4" xfId="10" applyFont="1" applyFill="1" applyBorder="1" applyAlignment="1">
      <alignment horizontal="left" vertical="top"/>
    </xf>
    <xf numFmtId="166" fontId="9" fillId="0" borderId="4" xfId="134" applyFont="1" applyFill="1" applyBorder="1" applyAlignment="1">
      <alignment horizontal="right" vertical="top"/>
    </xf>
    <xf numFmtId="0" fontId="28" fillId="0" borderId="4" xfId="10" applyFont="1" applyFill="1" applyBorder="1" applyAlignment="1">
      <alignment horizontal="left"/>
    </xf>
    <xf numFmtId="2" fontId="101" fillId="0" borderId="4" xfId="10" applyNumberFormat="1" applyFont="1" applyFill="1" applyBorder="1" applyAlignment="1">
      <alignment horizontal="center"/>
    </xf>
    <xf numFmtId="2" fontId="8" fillId="0" borderId="4" xfId="10" applyNumberFormat="1" applyFont="1" applyFill="1" applyBorder="1"/>
    <xf numFmtId="0" fontId="48" fillId="0" borderId="0" xfId="0" applyFont="1" applyAlignment="1">
      <alignment horizontal="right"/>
    </xf>
    <xf numFmtId="1" fontId="50" fillId="0" borderId="0" xfId="0" applyNumberFormat="1" applyFont="1" applyBorder="1" applyAlignment="1">
      <alignment horizontal="right" vertical="center"/>
    </xf>
    <xf numFmtId="2" fontId="49" fillId="0" borderId="0" xfId="0" applyNumberFormat="1" applyFont="1"/>
    <xf numFmtId="2" fontId="50" fillId="0" borderId="0" xfId="0" applyNumberFormat="1" applyFont="1" applyBorder="1" applyAlignment="1">
      <alignment horizontal="right" vertical="center"/>
    </xf>
    <xf numFmtId="2" fontId="50" fillId="7" borderId="0" xfId="0" applyNumberFormat="1" applyFont="1" applyFill="1" applyBorder="1" applyAlignment="1">
      <alignment horizontal="right" vertical="center"/>
    </xf>
    <xf numFmtId="0" fontId="50" fillId="7" borderId="0" xfId="0" applyFont="1" applyFill="1" applyBorder="1" applyAlignment="1">
      <alignment horizontal="right" vertical="center"/>
    </xf>
    <xf numFmtId="10" fontId="8" fillId="7" borderId="4" xfId="10" applyNumberFormat="1" applyFont="1" applyFill="1" applyBorder="1"/>
    <xf numFmtId="166" fontId="8" fillId="7" borderId="4" xfId="64" applyFont="1" applyFill="1" applyBorder="1"/>
    <xf numFmtId="166" fontId="8" fillId="0" borderId="0" xfId="0" applyNumberFormat="1" applyFont="1"/>
    <xf numFmtId="0" fontId="8" fillId="0" borderId="0" xfId="14" applyFont="1" applyBorder="1" applyAlignment="1">
      <alignment horizontal="center" vertical="center"/>
    </xf>
    <xf numFmtId="9" fontId="9" fillId="0" borderId="4" xfId="14" applyNumberFormat="1" applyFont="1" applyFill="1" applyBorder="1" applyAlignment="1">
      <alignment horizontal="center" vertical="center" wrapText="1"/>
    </xf>
    <xf numFmtId="166" fontId="9" fillId="7" borderId="4" xfId="64" applyFont="1" applyFill="1" applyBorder="1"/>
    <xf numFmtId="166" fontId="8" fillId="0" borderId="0" xfId="64" applyFont="1"/>
    <xf numFmtId="2" fontId="9" fillId="7" borderId="0" xfId="10" applyNumberFormat="1" applyFont="1" applyFill="1" applyBorder="1"/>
    <xf numFmtId="0" fontId="103" fillId="7" borderId="0" xfId="10" applyFont="1" applyFill="1" applyBorder="1" applyAlignment="1">
      <alignment horizontal="left"/>
    </xf>
    <xf numFmtId="166" fontId="9" fillId="7" borderId="0" xfId="64" applyFont="1" applyFill="1" applyBorder="1"/>
    <xf numFmtId="166" fontId="8" fillId="7" borderId="4" xfId="64" applyFont="1" applyFill="1" applyBorder="1" applyAlignment="1">
      <alignment horizontal="center" vertical="center" wrapText="1"/>
    </xf>
    <xf numFmtId="166" fontId="51" fillId="59" borderId="4" xfId="0" applyNumberFormat="1" applyFont="1" applyFill="1" applyBorder="1" applyAlignment="1">
      <alignment horizontal="center" vertical="center"/>
    </xf>
    <xf numFmtId="2" fontId="8" fillId="0" borderId="4" xfId="14" applyNumberFormat="1" applyFont="1" applyFill="1" applyBorder="1">
      <alignment vertical="center"/>
    </xf>
    <xf numFmtId="2" fontId="9" fillId="0" borderId="4" xfId="14" applyNumberFormat="1" applyFont="1" applyFill="1" applyBorder="1">
      <alignment vertical="center"/>
    </xf>
    <xf numFmtId="166" fontId="8" fillId="0" borderId="4" xfId="14" applyNumberFormat="1" applyFont="1" applyBorder="1">
      <alignment vertical="center"/>
    </xf>
    <xf numFmtId="179" fontId="48" fillId="0" borderId="0" xfId="0" applyNumberFormat="1" applyFont="1"/>
    <xf numFmtId="179" fontId="51" fillId="58" borderId="4" xfId="0" applyNumberFormat="1" applyFont="1" applyFill="1" applyBorder="1" applyAlignment="1">
      <alignment horizontal="center" vertical="center" wrapText="1"/>
    </xf>
    <xf numFmtId="179" fontId="48" fillId="58" borderId="4" xfId="0" applyNumberFormat="1" applyFont="1" applyFill="1" applyBorder="1"/>
    <xf numFmtId="179" fontId="51" fillId="58" borderId="4" xfId="135" applyNumberFormat="1" applyFont="1" applyFill="1" applyBorder="1" applyAlignment="1">
      <alignment horizontal="center" vertical="center"/>
    </xf>
    <xf numFmtId="179" fontId="50" fillId="58" borderId="4" xfId="135" applyNumberFormat="1" applyFont="1" applyFill="1" applyBorder="1"/>
    <xf numFmtId="166" fontId="9" fillId="0" borderId="4" xfId="14" applyNumberFormat="1" applyFont="1" applyBorder="1">
      <alignment vertical="center"/>
    </xf>
    <xf numFmtId="166" fontId="9" fillId="0" borderId="4" xfId="14" applyNumberFormat="1" applyFont="1" applyFill="1" applyBorder="1">
      <alignment vertical="center"/>
    </xf>
    <xf numFmtId="166" fontId="8" fillId="0" borderId="4" xfId="64" applyFont="1" applyFill="1" applyBorder="1" applyAlignment="1">
      <alignment vertical="center"/>
    </xf>
    <xf numFmtId="179" fontId="48" fillId="58" borderId="0" xfId="0" applyNumberFormat="1" applyFont="1" applyFill="1"/>
    <xf numFmtId="179" fontId="48" fillId="0" borderId="0" xfId="0" applyNumberFormat="1" applyFont="1" applyAlignment="1">
      <alignment vertical="center"/>
    </xf>
    <xf numFmtId="0" fontId="48" fillId="0" borderId="0" xfId="0" applyFont="1" applyAlignment="1">
      <alignment vertical="center"/>
    </xf>
    <xf numFmtId="166" fontId="8" fillId="5" borderId="4" xfId="64" applyFont="1" applyFill="1" applyBorder="1" applyAlignment="1">
      <alignment vertical="center"/>
    </xf>
    <xf numFmtId="166" fontId="9" fillId="5" borderId="4" xfId="64" applyFont="1" applyFill="1" applyBorder="1" applyAlignment="1">
      <alignment vertical="center"/>
    </xf>
    <xf numFmtId="166" fontId="9" fillId="5" borderId="4" xfId="14" applyNumberFormat="1" applyFont="1" applyFill="1" applyBorder="1">
      <alignment vertical="center"/>
    </xf>
    <xf numFmtId="0" fontId="51" fillId="0" borderId="0" xfId="0" applyFont="1" applyFill="1" applyBorder="1" applyAlignment="1">
      <alignment vertical="center"/>
    </xf>
    <xf numFmtId="166" fontId="51" fillId="0" borderId="0" xfId="0" applyNumberFormat="1" applyFont="1" applyFill="1" applyBorder="1" applyAlignment="1">
      <alignment horizontal="center" vertical="center"/>
    </xf>
    <xf numFmtId="179" fontId="51" fillId="0" borderId="0" xfId="135" applyNumberFormat="1" applyFont="1" applyFill="1" applyBorder="1" applyAlignment="1">
      <alignment horizontal="center" vertical="center"/>
    </xf>
    <xf numFmtId="10" fontId="48" fillId="0" borderId="0" xfId="65" applyNumberFormat="1" applyFont="1"/>
    <xf numFmtId="0" fontId="51" fillId="15" borderId="0" xfId="0" applyFont="1" applyFill="1" applyBorder="1" applyAlignment="1">
      <alignment vertical="center"/>
    </xf>
    <xf numFmtId="0" fontId="51" fillId="7" borderId="0" xfId="0" applyFont="1" applyFill="1" applyBorder="1" applyAlignment="1">
      <alignment vertical="center"/>
    </xf>
    <xf numFmtId="166" fontId="51" fillId="7" borderId="0" xfId="0" applyNumberFormat="1" applyFont="1" applyFill="1" applyBorder="1" applyAlignment="1">
      <alignment horizontal="center" vertical="center"/>
    </xf>
    <xf numFmtId="179" fontId="51" fillId="7" borderId="0" xfId="135" applyNumberFormat="1" applyFont="1" applyFill="1" applyBorder="1" applyAlignment="1">
      <alignment horizontal="center" vertical="center"/>
    </xf>
    <xf numFmtId="0" fontId="48" fillId="7" borderId="0" xfId="0" applyFont="1" applyFill="1"/>
    <xf numFmtId="0" fontId="51" fillId="60" borderId="4" xfId="0" applyFont="1" applyFill="1" applyBorder="1" applyAlignment="1">
      <alignment horizontal="center" vertical="center" wrapText="1"/>
    </xf>
    <xf numFmtId="179" fontId="51" fillId="60" borderId="4" xfId="0" applyNumberFormat="1" applyFont="1" applyFill="1" applyBorder="1" applyAlignment="1">
      <alignment horizontal="center" vertical="center" wrapText="1"/>
    </xf>
    <xf numFmtId="0" fontId="48" fillId="60" borderId="0" xfId="0" applyFont="1" applyFill="1" applyAlignment="1">
      <alignment horizontal="center" vertical="center"/>
    </xf>
    <xf numFmtId="0" fontId="48" fillId="60" borderId="0" xfId="0" applyFont="1" applyFill="1"/>
    <xf numFmtId="0" fontId="51" fillId="60" borderId="8" xfId="0" applyFont="1" applyFill="1" applyBorder="1" applyAlignment="1">
      <alignment vertical="center"/>
    </xf>
    <xf numFmtId="166" fontId="51" fillId="60" borderId="4" xfId="0" applyNumberFormat="1" applyFont="1" applyFill="1" applyBorder="1" applyAlignment="1">
      <alignment horizontal="center" vertical="center"/>
    </xf>
    <xf numFmtId="179" fontId="51" fillId="60" borderId="4" xfId="135" applyNumberFormat="1" applyFont="1" applyFill="1" applyBorder="1" applyAlignment="1">
      <alignment horizontal="center" vertical="center"/>
    </xf>
    <xf numFmtId="166" fontId="8" fillId="0" borderId="4" xfId="64" applyFont="1" applyBorder="1"/>
    <xf numFmtId="0" fontId="8" fillId="0" borderId="0" xfId="0" applyNumberFormat="1" applyFont="1" applyFill="1" applyBorder="1" applyAlignment="1">
      <alignment horizontal="left" vertical="top"/>
    </xf>
    <xf numFmtId="0" fontId="8" fillId="0" borderId="0" xfId="0" quotePrefix="1" applyNumberFormat="1" applyFont="1" applyFill="1" applyBorder="1" applyAlignment="1">
      <alignment horizontal="left" vertical="top"/>
    </xf>
    <xf numFmtId="0" fontId="8" fillId="0" borderId="0" xfId="516" applyNumberFormat="1" applyFont="1" applyFill="1" applyBorder="1" applyAlignment="1" applyProtection="1">
      <alignment horizontal="left" vertical="top"/>
    </xf>
    <xf numFmtId="179" fontId="8" fillId="0" borderId="0" xfId="0" applyNumberFormat="1" applyFont="1" applyFill="1" applyBorder="1" applyAlignment="1">
      <alignment horizontal="left" vertical="top"/>
    </xf>
    <xf numFmtId="164" fontId="9" fillId="0" borderId="0" xfId="134" applyNumberFormat="1" applyFont="1" applyFill="1" applyBorder="1" applyAlignment="1" applyProtection="1">
      <alignment horizontal="right" vertical="top"/>
    </xf>
    <xf numFmtId="0" fontId="9" fillId="15" borderId="0" xfId="0" quotePrefix="1" applyNumberFormat="1" applyFont="1" applyFill="1" applyBorder="1" applyAlignment="1">
      <alignment horizontal="left" vertical="top"/>
    </xf>
    <xf numFmtId="164" fontId="9" fillId="15" borderId="0" xfId="134" applyNumberFormat="1" applyFont="1" applyFill="1" applyBorder="1" applyAlignment="1" applyProtection="1">
      <alignment horizontal="right" vertical="top"/>
    </xf>
    <xf numFmtId="164" fontId="8" fillId="0" borderId="0" xfId="134" applyNumberFormat="1" applyFont="1" applyFill="1" applyBorder="1" applyAlignment="1" applyProtection="1">
      <alignment horizontal="right" vertical="top"/>
    </xf>
    <xf numFmtId="0" fontId="9" fillId="15" borderId="0" xfId="0" applyNumberFormat="1" applyFont="1" applyFill="1" applyBorder="1" applyAlignment="1">
      <alignment horizontal="left" vertical="top"/>
    </xf>
    <xf numFmtId="0" fontId="8" fillId="15" borderId="0" xfId="0" applyNumberFormat="1" applyFont="1" applyFill="1" applyBorder="1" applyAlignment="1">
      <alignment horizontal="left" vertical="top"/>
    </xf>
    <xf numFmtId="179" fontId="9" fillId="15" borderId="32" xfId="134" applyNumberFormat="1" applyFont="1" applyFill="1" applyBorder="1" applyAlignment="1" applyProtection="1">
      <alignment horizontal="right" vertical="top"/>
    </xf>
    <xf numFmtId="0" fontId="104" fillId="0" borderId="0" xfId="517" applyFont="1"/>
    <xf numFmtId="0" fontId="104" fillId="0" borderId="0" xfId="517" applyFont="1" applyAlignment="1">
      <alignment wrapText="1"/>
    </xf>
    <xf numFmtId="0" fontId="12" fillId="8" borderId="4" xfId="517" applyFont="1" applyFill="1" applyBorder="1" applyAlignment="1">
      <alignment horizontal="center" vertical="center"/>
    </xf>
    <xf numFmtId="0" fontId="12" fillId="0" borderId="4" xfId="517" applyFont="1" applyFill="1" applyBorder="1" applyAlignment="1">
      <alignment horizontal="left" vertical="center" wrapText="1"/>
    </xf>
    <xf numFmtId="0" fontId="12" fillId="0" borderId="4" xfId="517" applyFont="1" applyFill="1" applyBorder="1" applyAlignment="1">
      <alignment horizontal="center" vertical="center" wrapText="1"/>
    </xf>
    <xf numFmtId="0" fontId="18" fillId="0" borderId="4" xfId="517" applyFont="1" applyFill="1" applyBorder="1" applyAlignment="1">
      <alignment horizontal="left" vertical="center" wrapText="1"/>
    </xf>
    <xf numFmtId="0" fontId="18" fillId="0" borderId="4" xfId="517" applyFont="1" applyFill="1" applyBorder="1" applyAlignment="1">
      <alignment horizontal="center" vertical="center" wrapText="1"/>
    </xf>
    <xf numFmtId="9" fontId="18" fillId="0" borderId="4" xfId="517" applyNumberFormat="1" applyFont="1" applyFill="1" applyBorder="1" applyAlignment="1">
      <alignment horizontal="center" vertical="center" wrapText="1"/>
    </xf>
    <xf numFmtId="9" fontId="18" fillId="7" borderId="4" xfId="517" applyNumberFormat="1" applyFont="1" applyFill="1" applyBorder="1" applyAlignment="1">
      <alignment horizontal="center" vertical="center" wrapText="1"/>
    </xf>
    <xf numFmtId="0" fontId="106" fillId="0" borderId="4" xfId="517" applyFont="1" applyFill="1" applyBorder="1" applyAlignment="1">
      <alignment horizontal="left" vertical="center" wrapText="1"/>
    </xf>
    <xf numFmtId="0" fontId="12" fillId="7" borderId="4" xfId="283" applyFont="1" applyFill="1" applyBorder="1" applyAlignment="1">
      <alignment horizontal="left" vertical="center" wrapText="1" shrinkToFit="1"/>
    </xf>
    <xf numFmtId="9" fontId="104" fillId="0" borderId="4" xfId="517" applyNumberFormat="1" applyFont="1" applyBorder="1" applyAlignment="1">
      <alignment horizontal="center" vertical="center" shrinkToFit="1" readingOrder="1"/>
    </xf>
    <xf numFmtId="2" fontId="104" fillId="7" borderId="4" xfId="517" applyNumberFormat="1" applyFont="1" applyFill="1" applyBorder="1" applyAlignment="1">
      <alignment horizontal="center" vertical="center" shrinkToFit="1" readingOrder="1"/>
    </xf>
    <xf numFmtId="0" fontId="104" fillId="0" borderId="4" xfId="517" applyFont="1" applyBorder="1" applyAlignment="1">
      <alignment horizontal="center" shrinkToFit="1" readingOrder="1"/>
    </xf>
    <xf numFmtId="0" fontId="104" fillId="0" borderId="4" xfId="517" applyFont="1" applyBorder="1"/>
    <xf numFmtId="0" fontId="18" fillId="0" borderId="4" xfId="517" applyFont="1" applyBorder="1" applyAlignment="1">
      <alignment horizontal="left" vertical="center" wrapText="1" shrinkToFit="1"/>
    </xf>
    <xf numFmtId="9" fontId="104" fillId="0" borderId="4" xfId="518" applyFont="1" applyBorder="1" applyAlignment="1">
      <alignment horizontal="center" vertical="center" shrinkToFit="1" readingOrder="1"/>
    </xf>
    <xf numFmtId="2" fontId="104" fillId="0" borderId="4" xfId="517" applyNumberFormat="1" applyFont="1" applyBorder="1" applyAlignment="1">
      <alignment horizontal="center" vertical="center" shrinkToFit="1" readingOrder="1"/>
    </xf>
    <xf numFmtId="0" fontId="104" fillId="7" borderId="4" xfId="517" applyFont="1" applyFill="1" applyBorder="1" applyAlignment="1">
      <alignment horizontal="center" shrinkToFit="1" readingOrder="1"/>
    </xf>
    <xf numFmtId="0" fontId="104" fillId="7" borderId="4" xfId="517" applyFont="1" applyFill="1" applyBorder="1"/>
    <xf numFmtId="0" fontId="12" fillId="0" borderId="4" xfId="517" applyFont="1" applyBorder="1" applyAlignment="1">
      <alignment horizontal="left" vertical="center" wrapText="1" shrinkToFit="1"/>
    </xf>
    <xf numFmtId="0" fontId="18" fillId="0" borderId="4" xfId="517" applyFont="1" applyFill="1" applyBorder="1" applyAlignment="1">
      <alignment horizontal="left" vertical="center" wrapText="1" shrinkToFit="1"/>
    </xf>
    <xf numFmtId="10" fontId="104" fillId="0" borderId="4" xfId="518" applyNumberFormat="1" applyFont="1" applyBorder="1" applyAlignment="1">
      <alignment horizontal="center" vertical="center" shrinkToFit="1" readingOrder="1"/>
    </xf>
    <xf numFmtId="0" fontId="12" fillId="0" borderId="4" xfId="517" applyFont="1" applyFill="1" applyBorder="1" applyAlignment="1">
      <alignment horizontal="left" vertical="center" wrapText="1" shrinkToFit="1"/>
    </xf>
    <xf numFmtId="10" fontId="104" fillId="0" borderId="4" xfId="518" applyNumberFormat="1" applyFont="1" applyFill="1" applyBorder="1" applyAlignment="1">
      <alignment horizontal="center" vertical="center" shrinkToFit="1" readingOrder="1"/>
    </xf>
    <xf numFmtId="10" fontId="104" fillId="7" borderId="4" xfId="518" applyNumberFormat="1" applyFont="1" applyFill="1" applyBorder="1" applyAlignment="1">
      <alignment horizontal="center" vertical="center" shrinkToFit="1" readingOrder="1"/>
    </xf>
    <xf numFmtId="0" fontId="104" fillId="0" borderId="4" xfId="517" applyFont="1" applyFill="1" applyBorder="1" applyAlignment="1">
      <alignment horizontal="center" shrinkToFit="1" readingOrder="1"/>
    </xf>
    <xf numFmtId="10" fontId="105" fillId="0" borderId="4" xfId="518" applyNumberFormat="1" applyFont="1" applyBorder="1" applyAlignment="1">
      <alignment horizontal="center" vertical="center" shrinkToFit="1" readingOrder="1"/>
    </xf>
    <xf numFmtId="2" fontId="104" fillId="0" borderId="4" xfId="518" applyNumberFormat="1" applyFont="1" applyBorder="1" applyAlignment="1">
      <alignment horizontal="center" vertical="center" shrinkToFit="1" readingOrder="1"/>
    </xf>
    <xf numFmtId="0" fontId="18" fillId="7" borderId="4" xfId="283" applyFont="1" applyFill="1" applyBorder="1" applyAlignment="1">
      <alignment horizontal="left" vertical="center" wrapText="1" shrinkToFit="1"/>
    </xf>
    <xf numFmtId="10" fontId="104" fillId="0" borderId="4" xfId="517" applyNumberFormat="1" applyFont="1" applyBorder="1" applyAlignment="1">
      <alignment horizontal="center" vertical="center" shrinkToFit="1" readingOrder="1"/>
    </xf>
    <xf numFmtId="0" fontId="18" fillId="0" borderId="4" xfId="283" applyFont="1" applyFill="1" applyBorder="1" applyAlignment="1">
      <alignment horizontal="left" vertical="center" wrapText="1" shrinkToFit="1"/>
    </xf>
    <xf numFmtId="0" fontId="12" fillId="0" borderId="7" xfId="517" applyFont="1" applyBorder="1" applyAlignment="1">
      <alignment horizontal="left" vertical="center" wrapText="1" shrinkToFit="1"/>
    </xf>
    <xf numFmtId="0" fontId="108" fillId="61" borderId="4" xfId="245" applyFont="1" applyFill="1" applyBorder="1" applyAlignment="1">
      <alignment horizontal="center" wrapText="1"/>
    </xf>
    <xf numFmtId="0" fontId="109" fillId="0" borderId="4" xfId="245" applyFont="1" applyBorder="1" applyAlignment="1">
      <alignment horizontal="left" wrapText="1"/>
    </xf>
    <xf numFmtId="0" fontId="108" fillId="0" borderId="4" xfId="245" applyFont="1" applyBorder="1" applyAlignment="1">
      <alignment horizontal="left" wrapText="1"/>
    </xf>
    <xf numFmtId="166" fontId="18" fillId="0" borderId="4" xfId="134" applyFont="1" applyBorder="1" applyAlignment="1">
      <alignment horizontal="justify" vertical="top"/>
    </xf>
    <xf numFmtId="0" fontId="110" fillId="0" borderId="4" xfId="245" applyFont="1" applyBorder="1" applyAlignment="1">
      <alignment horizontal="left" wrapText="1"/>
    </xf>
    <xf numFmtId="166" fontId="107" fillId="0" borderId="4" xfId="134" applyFont="1" applyBorder="1" applyAlignment="1">
      <alignment horizontal="justify" vertical="top" wrapText="1"/>
    </xf>
    <xf numFmtId="166" fontId="109" fillId="0" borderId="4" xfId="245" applyNumberFormat="1" applyFont="1" applyBorder="1" applyAlignment="1">
      <alignment horizontal="left" wrapText="1"/>
    </xf>
    <xf numFmtId="166" fontId="18" fillId="0" borderId="4" xfId="134" applyFont="1" applyBorder="1" applyAlignment="1">
      <alignment horizontal="center" vertical="top"/>
    </xf>
    <xf numFmtId="166" fontId="12" fillId="0" borderId="4" xfId="134" applyFont="1" applyBorder="1" applyAlignment="1">
      <alignment horizontal="justify" vertical="top" wrapText="1"/>
    </xf>
    <xf numFmtId="9" fontId="104" fillId="0" borderId="4" xfId="409" applyFont="1" applyBorder="1"/>
    <xf numFmtId="9" fontId="104" fillId="0" borderId="4" xfId="517" applyNumberFormat="1" applyFont="1" applyBorder="1"/>
    <xf numFmtId="0" fontId="48" fillId="0" borderId="0" xfId="0" applyFont="1" applyAlignment="1">
      <alignment horizontal="center"/>
    </xf>
    <xf numFmtId="179" fontId="49" fillId="15" borderId="0" xfId="0" applyNumberFormat="1" applyFont="1" applyFill="1"/>
    <xf numFmtId="0" fontId="8" fillId="0" borderId="4" xfId="0" applyNumberFormat="1" applyFont="1" applyFill="1" applyBorder="1" applyAlignment="1">
      <alignment horizontal="left" vertical="top"/>
    </xf>
    <xf numFmtId="0" fontId="8" fillId="0" borderId="4" xfId="516" applyNumberFormat="1" applyFont="1" applyFill="1" applyBorder="1" applyAlignment="1" applyProtection="1">
      <alignment horizontal="left" vertical="top"/>
    </xf>
    <xf numFmtId="166" fontId="8" fillId="0" borderId="4" xfId="14" applyNumberFormat="1" applyFont="1" applyFill="1" applyBorder="1">
      <alignment vertical="center"/>
    </xf>
    <xf numFmtId="166" fontId="8" fillId="0" borderId="4" xfId="10" applyNumberFormat="1" applyFont="1" applyFill="1" applyBorder="1" applyAlignment="1">
      <alignment vertical="center"/>
    </xf>
    <xf numFmtId="166" fontId="9" fillId="0" borderId="4" xfId="10" applyNumberFormat="1" applyFont="1" applyFill="1" applyBorder="1"/>
    <xf numFmtId="166" fontId="29" fillId="0" borderId="4" xfId="64" applyFont="1" applyFill="1" applyBorder="1" applyAlignment="1">
      <alignment vertical="center"/>
    </xf>
    <xf numFmtId="166" fontId="40" fillId="0" borderId="4" xfId="26" applyFont="1" applyBorder="1" applyAlignment="1">
      <alignment horizontal="right" wrapText="1"/>
    </xf>
    <xf numFmtId="179" fontId="40" fillId="0" borderId="4" xfId="26" applyNumberFormat="1" applyFont="1" applyBorder="1" applyAlignment="1">
      <alignment horizontal="right"/>
    </xf>
    <xf numFmtId="0" fontId="48" fillId="0" borderId="4" xfId="0" applyFont="1" applyBorder="1"/>
    <xf numFmtId="0" fontId="49" fillId="0" borderId="4" xfId="0" applyFont="1" applyBorder="1"/>
    <xf numFmtId="43" fontId="8" fillId="0" borderId="4" xfId="10" applyNumberFormat="1" applyFont="1" applyBorder="1"/>
    <xf numFmtId="166" fontId="40" fillId="0" borderId="4" xfId="26" applyFont="1" applyBorder="1" applyAlignment="1">
      <alignment horizontal="center" vertical="center"/>
    </xf>
    <xf numFmtId="0" fontId="19" fillId="0" borderId="0" xfId="0" applyFont="1"/>
    <xf numFmtId="0" fontId="38" fillId="15" borderId="0" xfId="0" applyFont="1" applyFill="1"/>
    <xf numFmtId="0" fontId="42" fillId="0" borderId="4" xfId="0" applyFont="1" applyBorder="1"/>
    <xf numFmtId="166" fontId="42" fillId="0" borderId="4" xfId="64" applyFont="1" applyBorder="1"/>
    <xf numFmtId="43" fontId="42" fillId="0" borderId="4" xfId="0" applyNumberFormat="1" applyFont="1" applyBorder="1"/>
    <xf numFmtId="166" fontId="40" fillId="0" borderId="4" xfId="0" applyNumberFormat="1" applyFont="1" applyBorder="1"/>
    <xf numFmtId="0" fontId="40" fillId="0" borderId="4" xfId="0" applyFont="1" applyBorder="1"/>
    <xf numFmtId="166" fontId="11" fillId="0" borderId="4" xfId="64" applyFont="1" applyFill="1" applyBorder="1"/>
    <xf numFmtId="43" fontId="8" fillId="7" borderId="4" xfId="14" applyNumberFormat="1" applyFont="1" applyFill="1" applyBorder="1" applyAlignment="1">
      <alignment horizontal="center" vertical="center" wrapText="1"/>
    </xf>
    <xf numFmtId="166" fontId="9" fillId="7" borderId="4" xfId="64" applyFont="1" applyFill="1" applyBorder="1" applyAlignment="1">
      <alignment horizontal="center" vertical="center" wrapText="1"/>
    </xf>
    <xf numFmtId="166" fontId="42" fillId="62" borderId="4" xfId="64" applyFont="1" applyFill="1" applyBorder="1"/>
    <xf numFmtId="166" fontId="40" fillId="62" borderId="4" xfId="0" applyNumberFormat="1" applyFont="1" applyFill="1" applyBorder="1"/>
    <xf numFmtId="2" fontId="9" fillId="0" borderId="0" xfId="10" applyNumberFormat="1" applyFont="1" applyBorder="1"/>
    <xf numFmtId="0" fontId="9" fillId="4" borderId="4" xfId="10" applyFont="1" applyFill="1" applyBorder="1" applyAlignment="1">
      <alignment horizontal="center" vertical="center" wrapText="1"/>
    </xf>
    <xf numFmtId="166" fontId="9" fillId="0" borderId="0" xfId="64" applyFont="1" applyBorder="1"/>
    <xf numFmtId="0" fontId="0" fillId="15" borderId="0" xfId="0" applyFill="1"/>
    <xf numFmtId="0" fontId="9" fillId="0" borderId="7" xfId="10" applyFont="1" applyBorder="1" applyAlignment="1"/>
    <xf numFmtId="0" fontId="9" fillId="0" borderId="9" xfId="10" applyFont="1" applyBorder="1" applyAlignment="1"/>
    <xf numFmtId="166" fontId="8" fillId="5" borderId="4" xfId="64" applyFont="1" applyFill="1" applyBorder="1" applyAlignment="1">
      <alignment horizontal="center" vertical="center"/>
    </xf>
    <xf numFmtId="2" fontId="8" fillId="5" borderId="4" xfId="14" applyNumberFormat="1" applyFont="1" applyFill="1" applyBorder="1" applyAlignment="1">
      <alignment horizontal="center" vertical="center"/>
    </xf>
    <xf numFmtId="0" fontId="8" fillId="5" borderId="4" xfId="64" applyNumberFormat="1" applyFont="1" applyFill="1" applyBorder="1" applyAlignment="1">
      <alignment horizontal="center" vertical="center"/>
    </xf>
    <xf numFmtId="166" fontId="40" fillId="15" borderId="11" xfId="26" applyFont="1" applyFill="1" applyBorder="1" applyAlignment="1"/>
    <xf numFmtId="166" fontId="40" fillId="15" borderId="0" xfId="26" applyFont="1" applyFill="1" applyBorder="1" applyAlignment="1"/>
    <xf numFmtId="0" fontId="42" fillId="0" borderId="4" xfId="0" applyFont="1" applyFill="1" applyBorder="1" applyAlignment="1" applyProtection="1">
      <alignment vertical="top"/>
    </xf>
    <xf numFmtId="166" fontId="42" fillId="0" borderId="4" xfId="0" applyNumberFormat="1" applyFont="1" applyBorder="1"/>
    <xf numFmtId="166" fontId="40" fillId="0" borderId="4" xfId="64" applyFont="1" applyBorder="1"/>
    <xf numFmtId="0" fontId="8" fillId="5" borderId="4" xfId="0" applyFont="1" applyFill="1" applyBorder="1" applyAlignment="1">
      <alignment horizontal="left" vertical="top" wrapText="1"/>
    </xf>
    <xf numFmtId="2" fontId="8" fillId="0" borderId="4" xfId="14" applyNumberFormat="1" applyFont="1" applyBorder="1">
      <alignment vertical="center"/>
    </xf>
    <xf numFmtId="2" fontId="9" fillId="7" borderId="4" xfId="14" applyNumberFormat="1" applyFont="1" applyFill="1" applyBorder="1" applyAlignment="1">
      <alignment horizontal="right"/>
    </xf>
    <xf numFmtId="2" fontId="9" fillId="7" borderId="4" xfId="14" applyNumberFormat="1" applyFont="1" applyFill="1" applyBorder="1" applyAlignment="1">
      <alignment horizontal="right" vertical="center"/>
    </xf>
    <xf numFmtId="2" fontId="9" fillId="0" borderId="4" xfId="14" applyNumberFormat="1" applyFont="1" applyBorder="1">
      <alignment vertical="center"/>
    </xf>
    <xf numFmtId="0" fontId="8" fillId="0" borderId="4" xfId="10" quotePrefix="1" applyFont="1" applyBorder="1" applyAlignment="1">
      <alignment horizontal="left" vertical="top" wrapText="1"/>
    </xf>
    <xf numFmtId="166" fontId="8" fillId="0" borderId="4" xfId="64" quotePrefix="1" applyFont="1" applyBorder="1" applyAlignment="1">
      <alignment horizontal="left" vertical="top" wrapText="1"/>
    </xf>
    <xf numFmtId="166" fontId="8" fillId="0" borderId="4" xfId="64" quotePrefix="1" applyFont="1" applyBorder="1" applyAlignment="1">
      <alignment horizontal="center" vertical="top" wrapText="1"/>
    </xf>
    <xf numFmtId="43" fontId="8" fillId="0" borderId="4" xfId="10" quotePrefix="1" applyNumberFormat="1" applyFont="1" applyBorder="1" applyAlignment="1">
      <alignment horizontal="center" vertical="top" wrapText="1"/>
    </xf>
    <xf numFmtId="9" fontId="8" fillId="0" borderId="4" xfId="65" applyFont="1" applyBorder="1" applyAlignment="1">
      <alignment vertical="center"/>
    </xf>
    <xf numFmtId="10" fontId="8" fillId="0" borderId="4" xfId="65" applyNumberFormat="1" applyFont="1" applyBorder="1" applyAlignment="1">
      <alignment vertical="center"/>
    </xf>
    <xf numFmtId="43" fontId="8" fillId="0" borderId="4" xfId="14" applyNumberFormat="1" applyFont="1" applyBorder="1">
      <alignment vertical="center"/>
    </xf>
    <xf numFmtId="166" fontId="8" fillId="0" borderId="4" xfId="64" applyFont="1" applyFill="1" applyBorder="1" applyAlignment="1" applyProtection="1">
      <alignment horizontal="left" vertical="center"/>
    </xf>
    <xf numFmtId="166" fontId="9" fillId="0" borderId="4" xfId="64" applyFont="1" applyFill="1" applyBorder="1" applyAlignment="1" applyProtection="1">
      <alignment horizontal="left" vertical="center"/>
    </xf>
    <xf numFmtId="10" fontId="9" fillId="0" borderId="0" xfId="65" applyNumberFormat="1" applyFont="1" applyBorder="1" applyAlignment="1">
      <alignment horizontal="right"/>
    </xf>
    <xf numFmtId="10" fontId="9" fillId="0" borderId="0" xfId="65" applyNumberFormat="1" applyFont="1" applyFill="1" applyBorder="1" applyAlignment="1" applyProtection="1">
      <alignment horizontal="left" vertical="center"/>
    </xf>
    <xf numFmtId="166" fontId="9" fillId="0" borderId="4" xfId="64" applyFont="1" applyFill="1" applyBorder="1" applyAlignment="1" applyProtection="1">
      <alignment horizontal="center" vertical="center" wrapText="1"/>
    </xf>
    <xf numFmtId="166" fontId="8" fillId="0" borderId="0" xfId="64" applyFont="1" applyAlignment="1">
      <alignment vertical="center"/>
    </xf>
    <xf numFmtId="166" fontId="9" fillId="0" borderId="0" xfId="64" applyFont="1" applyBorder="1" applyAlignment="1">
      <alignment vertical="center"/>
    </xf>
    <xf numFmtId="166" fontId="8" fillId="0" borderId="4" xfId="64" applyFont="1" applyFill="1" applyBorder="1"/>
    <xf numFmtId="166" fontId="8" fillId="0" borderId="4" xfId="10" applyNumberFormat="1" applyFont="1" applyFill="1" applyBorder="1"/>
    <xf numFmtId="43" fontId="8" fillId="0" borderId="4" xfId="10" applyNumberFormat="1" applyFont="1" applyFill="1" applyBorder="1"/>
    <xf numFmtId="10" fontId="8" fillId="0" borderId="0" xfId="10" applyNumberFormat="1" applyFont="1"/>
    <xf numFmtId="10" fontId="34" fillId="0" borderId="4" xfId="65" applyNumberFormat="1" applyFont="1" applyBorder="1"/>
    <xf numFmtId="0" fontId="34" fillId="0" borderId="4" xfId="0" applyNumberFormat="1" applyFont="1" applyFill="1" applyBorder="1"/>
    <xf numFmtId="0" fontId="9" fillId="0" borderId="4" xfId="0" applyFont="1" applyBorder="1"/>
    <xf numFmtId="0" fontId="12" fillId="63" borderId="4" xfId="517" applyFont="1" applyFill="1" applyBorder="1" applyAlignment="1">
      <alignment horizontal="center" vertical="center"/>
    </xf>
    <xf numFmtId="10" fontId="104" fillId="0" borderId="0" xfId="517" applyNumberFormat="1" applyFont="1"/>
    <xf numFmtId="10" fontId="104" fillId="0" borderId="4" xfId="517" applyNumberFormat="1" applyFont="1" applyBorder="1"/>
    <xf numFmtId="10" fontId="8" fillId="7" borderId="4" xfId="10" applyNumberFormat="1" applyFont="1" applyFill="1" applyBorder="1" applyAlignment="1">
      <alignment horizontal="center" vertical="top" wrapText="1"/>
    </xf>
    <xf numFmtId="166" fontId="8" fillId="7" borderId="4" xfId="64" applyFont="1" applyFill="1" applyBorder="1" applyAlignment="1">
      <alignment horizontal="center" vertical="top" wrapText="1"/>
    </xf>
    <xf numFmtId="166" fontId="9" fillId="0" borderId="4" xfId="64" quotePrefix="1" applyFont="1" applyBorder="1" applyAlignment="1">
      <alignment horizontal="left" vertical="top" wrapText="1"/>
    </xf>
    <xf numFmtId="0" fontId="9" fillId="0" borderId="4" xfId="10" quotePrefix="1" applyFont="1" applyBorder="1" applyAlignment="1">
      <alignment horizontal="left" vertical="top" wrapText="1"/>
    </xf>
    <xf numFmtId="9" fontId="104" fillId="0" borderId="0" xfId="517" applyNumberFormat="1" applyFont="1"/>
    <xf numFmtId="191" fontId="8" fillId="0" borderId="4" xfId="10" quotePrefix="1" applyNumberFormat="1" applyFont="1" applyBorder="1" applyAlignment="1">
      <alignment horizontal="center" vertical="top" wrapText="1"/>
    </xf>
    <xf numFmtId="166" fontId="9" fillId="0" borderId="4" xfId="64" quotePrefix="1" applyFont="1" applyBorder="1" applyAlignment="1">
      <alignment horizontal="center" vertical="top" wrapText="1"/>
    </xf>
    <xf numFmtId="166" fontId="8" fillId="0" borderId="4" xfId="64" quotePrefix="1" applyFont="1" applyBorder="1" applyAlignment="1">
      <alignment horizontal="right" vertical="top" wrapText="1"/>
    </xf>
    <xf numFmtId="166" fontId="8" fillId="0" borderId="4" xfId="64" applyFont="1" applyBorder="1" applyAlignment="1"/>
    <xf numFmtId="166" fontId="8" fillId="0" borderId="4" xfId="64" applyFont="1" applyFill="1" applyBorder="1" applyAlignment="1">
      <alignment horizontal="right"/>
    </xf>
    <xf numFmtId="166" fontId="8" fillId="5" borderId="4" xfId="64" applyFont="1" applyFill="1" applyBorder="1" applyAlignment="1" applyProtection="1">
      <alignment horizontal="left"/>
    </xf>
    <xf numFmtId="166" fontId="9" fillId="5" borderId="4" xfId="64" applyFont="1" applyFill="1" applyBorder="1" applyAlignment="1" applyProtection="1">
      <alignment horizontal="left"/>
    </xf>
    <xf numFmtId="0" fontId="0" fillId="0" borderId="4" xfId="0" applyBorder="1"/>
    <xf numFmtId="166" fontId="0" fillId="0" borderId="4" xfId="64" applyFont="1" applyBorder="1"/>
    <xf numFmtId="10" fontId="0" fillId="0" borderId="4" xfId="65" applyNumberFormat="1" applyFont="1" applyBorder="1"/>
    <xf numFmtId="43" fontId="0" fillId="0" borderId="4" xfId="0" applyNumberFormat="1" applyBorder="1"/>
    <xf numFmtId="2" fontId="0" fillId="0" borderId="4" xfId="0" applyNumberFormat="1" applyBorder="1"/>
    <xf numFmtId="0" fontId="8" fillId="7" borderId="4" xfId="10" applyFont="1" applyFill="1" applyBorder="1" applyAlignment="1">
      <alignment vertical="center"/>
    </xf>
    <xf numFmtId="0" fontId="8" fillId="0" borderId="4" xfId="0" applyFont="1" applyBorder="1" applyAlignment="1">
      <alignment horizontal="left" vertical="center" wrapText="1"/>
    </xf>
    <xf numFmtId="0" fontId="8" fillId="7" borderId="4" xfId="10" applyFont="1" applyFill="1" applyBorder="1" applyAlignment="1">
      <alignment horizontal="left" vertical="center"/>
    </xf>
    <xf numFmtId="166" fontId="8" fillId="7" borderId="4" xfId="64" applyFont="1" applyFill="1" applyBorder="1" applyAlignment="1">
      <alignment vertical="center"/>
    </xf>
    <xf numFmtId="166" fontId="8" fillId="0" borderId="0" xfId="0" applyNumberFormat="1" applyFont="1" applyAlignment="1">
      <alignment vertical="center"/>
    </xf>
    <xf numFmtId="166" fontId="8" fillId="5" borderId="4" xfId="64" applyFont="1" applyFill="1" applyBorder="1" applyAlignment="1" applyProtection="1">
      <alignment horizontal="right"/>
    </xf>
    <xf numFmtId="0" fontId="8" fillId="5" borderId="7" xfId="10" applyFont="1" applyFill="1" applyBorder="1" applyAlignment="1" applyProtection="1">
      <alignment horizontal="left"/>
    </xf>
    <xf numFmtId="43" fontId="8" fillId="5" borderId="4" xfId="10" applyNumberFormat="1" applyFont="1" applyFill="1" applyBorder="1" applyAlignment="1" applyProtection="1">
      <alignment horizontal="left"/>
    </xf>
    <xf numFmtId="166" fontId="8" fillId="5" borderId="5" xfId="64" applyFont="1" applyFill="1" applyBorder="1" applyAlignment="1">
      <alignment vertical="center"/>
    </xf>
    <xf numFmtId="10" fontId="8" fillId="0" borderId="5" xfId="14" applyNumberFormat="1" applyFont="1" applyBorder="1">
      <alignment vertical="center"/>
    </xf>
    <xf numFmtId="43" fontId="8" fillId="0" borderId="5" xfId="14" applyNumberFormat="1" applyFont="1" applyBorder="1">
      <alignment vertical="center"/>
    </xf>
    <xf numFmtId="166" fontId="9" fillId="5" borderId="5" xfId="64" applyFont="1" applyFill="1" applyBorder="1" applyAlignment="1">
      <alignment vertical="center"/>
    </xf>
    <xf numFmtId="43" fontId="9" fillId="0" borderId="5" xfId="14" applyNumberFormat="1" applyFont="1" applyBorder="1">
      <alignment vertical="center"/>
    </xf>
    <xf numFmtId="2" fontId="8" fillId="5" borderId="4" xfId="14" applyNumberFormat="1" applyFont="1" applyFill="1" applyBorder="1" applyAlignment="1">
      <alignment vertical="center"/>
    </xf>
    <xf numFmtId="43" fontId="8" fillId="5" borderId="4" xfId="14" applyNumberFormat="1" applyFont="1" applyFill="1" applyBorder="1" applyAlignment="1">
      <alignment vertical="center"/>
    </xf>
    <xf numFmtId="43" fontId="9" fillId="5" borderId="4" xfId="14" applyNumberFormat="1" applyFont="1" applyFill="1" applyBorder="1" applyAlignment="1">
      <alignment vertical="center"/>
    </xf>
    <xf numFmtId="10" fontId="8" fillId="0" borderId="4" xfId="14" applyNumberFormat="1" applyFont="1" applyBorder="1">
      <alignment vertical="center"/>
    </xf>
    <xf numFmtId="0" fontId="9" fillId="0" borderId="0" xfId="10" applyFont="1" applyBorder="1" applyAlignment="1">
      <alignment horizontal="center" vertical="center"/>
    </xf>
    <xf numFmtId="43" fontId="9" fillId="0" borderId="0" xfId="14" applyNumberFormat="1" applyFont="1" applyAlignment="1">
      <alignment vertical="center" wrapText="1"/>
    </xf>
    <xf numFmtId="166" fontId="45" fillId="0" borderId="4" xfId="64" applyFont="1" applyBorder="1"/>
    <xf numFmtId="166" fontId="39" fillId="0" borderId="4" xfId="64" applyFont="1" applyBorder="1" applyAlignment="1">
      <alignment vertical="center"/>
    </xf>
    <xf numFmtId="166" fontId="34" fillId="0" borderId="4" xfId="64" applyFont="1" applyFill="1" applyBorder="1"/>
    <xf numFmtId="0" fontId="8" fillId="7" borderId="4" xfId="10" applyFont="1" applyFill="1" applyBorder="1" applyAlignment="1">
      <alignment horizontal="right" vertical="top" wrapText="1"/>
    </xf>
    <xf numFmtId="0" fontId="8" fillId="0" borderId="4" xfId="0" applyFont="1" applyBorder="1" applyAlignment="1">
      <alignment wrapText="1"/>
    </xf>
    <xf numFmtId="43" fontId="8" fillId="7" borderId="4" xfId="10" applyNumberFormat="1" applyFont="1" applyFill="1" applyBorder="1"/>
    <xf numFmtId="43" fontId="8" fillId="7" borderId="4" xfId="10" applyNumberFormat="1" applyFont="1" applyFill="1" applyBorder="1" applyAlignment="1">
      <alignment vertical="top"/>
    </xf>
    <xf numFmtId="166" fontId="8" fillId="7" borderId="4" xfId="64" applyFont="1" applyFill="1" applyBorder="1" applyAlignment="1">
      <alignment vertical="top"/>
    </xf>
    <xf numFmtId="166" fontId="28" fillId="7" borderId="4" xfId="64" applyFont="1" applyFill="1" applyBorder="1" applyAlignment="1">
      <alignment horizontal="left"/>
    </xf>
    <xf numFmtId="0" fontId="8" fillId="0" borderId="4" xfId="0" applyFont="1" applyBorder="1"/>
    <xf numFmtId="0" fontId="28" fillId="7" borderId="4" xfId="10" applyFont="1" applyFill="1" applyBorder="1" applyAlignment="1">
      <alignment horizontal="right"/>
    </xf>
    <xf numFmtId="166" fontId="11" fillId="7" borderId="4" xfId="10" applyNumberFormat="1" applyFont="1" applyFill="1" applyBorder="1"/>
    <xf numFmtId="166" fontId="28" fillId="7" borderId="4" xfId="64" applyFont="1" applyFill="1" applyBorder="1" applyAlignment="1">
      <alignment horizontal="center"/>
    </xf>
    <xf numFmtId="43" fontId="28" fillId="7" borderId="4" xfId="10" applyNumberFormat="1" applyFont="1" applyFill="1" applyBorder="1" applyAlignment="1">
      <alignment horizontal="left"/>
    </xf>
    <xf numFmtId="166" fontId="8" fillId="7" borderId="4" xfId="64" applyFont="1" applyFill="1" applyBorder="1" applyAlignment="1">
      <alignment horizontal="center" vertical="center"/>
    </xf>
    <xf numFmtId="166" fontId="8" fillId="7" borderId="4" xfId="64" applyFont="1" applyFill="1" applyBorder="1" applyAlignment="1" applyProtection="1">
      <alignment horizontal="left"/>
    </xf>
    <xf numFmtId="10" fontId="8" fillId="7" borderId="4" xfId="65" applyNumberFormat="1" applyFont="1" applyFill="1" applyBorder="1" applyAlignment="1" applyProtection="1">
      <alignment horizontal="right"/>
    </xf>
    <xf numFmtId="166" fontId="8" fillId="7" borderId="4" xfId="64" applyFont="1" applyFill="1" applyBorder="1" applyAlignment="1" applyProtection="1">
      <alignment horizontal="right"/>
    </xf>
    <xf numFmtId="0" fontId="18" fillId="0" borderId="4" xfId="15" applyFont="1" applyFill="1" applyBorder="1" applyAlignment="1">
      <alignment horizontal="right" vertical="center"/>
    </xf>
    <xf numFmtId="0" fontId="8" fillId="7" borderId="4" xfId="0" applyFont="1" applyFill="1" applyBorder="1" applyAlignment="1" applyProtection="1">
      <alignment horizontal="right"/>
    </xf>
    <xf numFmtId="0" fontId="8" fillId="0" borderId="4" xfId="15" applyFont="1" applyFill="1" applyBorder="1" applyAlignment="1">
      <alignment horizontal="right" vertical="center"/>
    </xf>
    <xf numFmtId="166" fontId="8" fillId="7" borderId="4" xfId="0" applyNumberFormat="1" applyFont="1" applyFill="1" applyBorder="1" applyAlignment="1" applyProtection="1">
      <alignment horizontal="left"/>
    </xf>
    <xf numFmtId="43" fontId="8" fillId="7" borderId="4" xfId="0" applyNumberFormat="1" applyFont="1" applyFill="1" applyBorder="1" applyAlignment="1" applyProtection="1">
      <alignment horizontal="left"/>
    </xf>
    <xf numFmtId="166" fontId="8" fillId="0" borderId="4" xfId="15" applyNumberFormat="1" applyFont="1" applyFill="1" applyBorder="1" applyAlignment="1">
      <alignment vertical="center"/>
    </xf>
    <xf numFmtId="0" fontId="29" fillId="7" borderId="4" xfId="0" applyFont="1" applyFill="1" applyBorder="1" applyAlignment="1">
      <alignment horizontal="center" wrapText="1"/>
    </xf>
    <xf numFmtId="166" fontId="9" fillId="7" borderId="4" xfId="64" applyFont="1" applyFill="1" applyBorder="1" applyAlignment="1" applyProtection="1">
      <alignment horizontal="left"/>
    </xf>
    <xf numFmtId="0" fontId="9" fillId="7" borderId="4" xfId="0" applyFont="1" applyFill="1" applyBorder="1" applyAlignment="1" applyProtection="1">
      <alignment horizontal="right"/>
    </xf>
    <xf numFmtId="43" fontId="9" fillId="7" borderId="4" xfId="0" applyNumberFormat="1" applyFont="1" applyFill="1" applyBorder="1" applyAlignment="1" applyProtection="1">
      <alignment horizontal="left"/>
    </xf>
    <xf numFmtId="166" fontId="9" fillId="7" borderId="4" xfId="64" applyFont="1" applyFill="1" applyBorder="1" applyAlignment="1" applyProtection="1">
      <alignment horizontal="right"/>
    </xf>
    <xf numFmtId="166" fontId="29" fillId="7" borderId="4" xfId="0" applyNumberFormat="1" applyFont="1" applyFill="1" applyBorder="1" applyAlignment="1">
      <alignment horizontal="center" wrapText="1"/>
    </xf>
    <xf numFmtId="43" fontId="29" fillId="7" borderId="4" xfId="0" applyNumberFormat="1" applyFont="1" applyFill="1" applyBorder="1" applyAlignment="1">
      <alignment horizontal="center" wrapText="1"/>
    </xf>
    <xf numFmtId="43" fontId="112" fillId="7" borderId="4" xfId="0" applyNumberFormat="1" applyFont="1" applyFill="1" applyBorder="1" applyAlignment="1">
      <alignment horizontal="center" wrapText="1"/>
    </xf>
    <xf numFmtId="166" fontId="8" fillId="0" borderId="4" xfId="0" applyNumberFormat="1" applyFont="1" applyBorder="1" applyAlignment="1">
      <alignment vertical="top"/>
    </xf>
    <xf numFmtId="166" fontId="18" fillId="0" borderId="4" xfId="15" applyNumberFormat="1" applyFont="1" applyFill="1" applyBorder="1" applyAlignment="1">
      <alignment horizontal="right" vertical="center"/>
    </xf>
    <xf numFmtId="166" fontId="8" fillId="7" borderId="4" xfId="0" applyNumberFormat="1" applyFont="1" applyFill="1" applyBorder="1" applyAlignment="1" applyProtection="1">
      <alignment horizontal="right"/>
    </xf>
    <xf numFmtId="0" fontId="0" fillId="7" borderId="4" xfId="0" applyFill="1" applyBorder="1" applyAlignment="1">
      <alignment horizontal="right" wrapText="1"/>
    </xf>
    <xf numFmtId="166" fontId="0" fillId="7" borderId="4" xfId="0" applyNumberFormat="1" applyFill="1" applyBorder="1" applyAlignment="1">
      <alignment horizontal="right" wrapText="1"/>
    </xf>
    <xf numFmtId="43" fontId="8" fillId="7" borderId="4" xfId="0" applyNumberFormat="1" applyFont="1" applyFill="1" applyBorder="1" applyAlignment="1" applyProtection="1">
      <alignment horizontal="right"/>
    </xf>
    <xf numFmtId="166" fontId="8" fillId="0" borderId="4" xfId="0" applyNumberFormat="1" applyFont="1" applyBorder="1" applyAlignment="1">
      <alignment horizontal="right" vertical="top"/>
    </xf>
    <xf numFmtId="166" fontId="8" fillId="0" borderId="4" xfId="14" applyNumberFormat="1" applyFont="1" applyBorder="1" applyAlignment="1">
      <alignment horizontal="right" vertical="center"/>
    </xf>
    <xf numFmtId="166" fontId="38" fillId="0" borderId="4" xfId="64" applyFont="1" applyBorder="1"/>
    <xf numFmtId="0" fontId="38" fillId="0" borderId="4" xfId="0" applyFont="1" applyBorder="1"/>
    <xf numFmtId="166" fontId="38" fillId="0" borderId="4" xfId="0" applyNumberFormat="1" applyFont="1" applyBorder="1"/>
    <xf numFmtId="43" fontId="38" fillId="0" borderId="4" xfId="0" applyNumberFormat="1" applyFont="1" applyBorder="1"/>
    <xf numFmtId="166" fontId="42" fillId="0" borderId="4" xfId="64" applyFont="1" applyFill="1" applyBorder="1"/>
    <xf numFmtId="166" fontId="8" fillId="7" borderId="4" xfId="10" applyNumberFormat="1" applyFont="1" applyFill="1" applyBorder="1" applyAlignment="1">
      <alignment horizontal="left" vertical="top"/>
    </xf>
    <xf numFmtId="0" fontId="9" fillId="4" borderId="4" xfId="14" applyFont="1" applyFill="1" applyBorder="1" applyAlignment="1">
      <alignment horizontal="center" vertical="center" wrapText="1"/>
    </xf>
    <xf numFmtId="0" fontId="9" fillId="0" borderId="0" xfId="0" applyFont="1" applyBorder="1" applyAlignment="1">
      <alignment horizontal="left"/>
    </xf>
    <xf numFmtId="0" fontId="51" fillId="59" borderId="0" xfId="0" applyFont="1" applyFill="1" applyBorder="1" applyAlignment="1">
      <alignment vertical="center"/>
    </xf>
    <xf numFmtId="166" fontId="51" fillId="59" borderId="0" xfId="0" applyNumberFormat="1" applyFont="1" applyFill="1" applyBorder="1" applyAlignment="1">
      <alignment horizontal="center" vertical="center"/>
    </xf>
    <xf numFmtId="179" fontId="51" fillId="59" borderId="0" xfId="135" applyNumberFormat="1" applyFont="1" applyFill="1" applyBorder="1" applyAlignment="1">
      <alignment horizontal="center" vertical="center"/>
    </xf>
    <xf numFmtId="179" fontId="51" fillId="58" borderId="0" xfId="135" applyNumberFormat="1" applyFont="1" applyFill="1" applyBorder="1" applyAlignment="1">
      <alignment horizontal="center" vertical="center"/>
    </xf>
    <xf numFmtId="9" fontId="51" fillId="59" borderId="0" xfId="65" applyNumberFormat="1" applyFont="1" applyFill="1" applyBorder="1" applyAlignment="1">
      <alignment horizontal="center" vertical="center"/>
    </xf>
    <xf numFmtId="43" fontId="50" fillId="0" borderId="4" xfId="135" applyNumberFormat="1" applyFont="1" applyBorder="1"/>
    <xf numFmtId="179" fontId="51" fillId="64" borderId="4" xfId="135" applyNumberFormat="1" applyFont="1" applyFill="1" applyBorder="1" applyAlignment="1">
      <alignment horizontal="center" vertical="center"/>
    </xf>
    <xf numFmtId="179" fontId="50" fillId="64" borderId="4" xfId="135" applyNumberFormat="1" applyFont="1" applyFill="1" applyBorder="1" applyAlignment="1">
      <alignment horizontal="center" vertical="center"/>
    </xf>
    <xf numFmtId="179" fontId="50" fillId="64" borderId="0" xfId="135" applyNumberFormat="1" applyFont="1" applyFill="1" applyBorder="1" applyAlignment="1">
      <alignment horizontal="center" vertical="center"/>
    </xf>
    <xf numFmtId="179" fontId="51" fillId="64" borderId="0" xfId="135" applyNumberFormat="1" applyFont="1" applyFill="1" applyBorder="1" applyAlignment="1">
      <alignment horizontal="center" vertical="center"/>
    </xf>
    <xf numFmtId="166" fontId="50" fillId="0" borderId="7" xfId="135" applyFont="1" applyFill="1" applyBorder="1" applyAlignment="1">
      <alignment horizontal="left"/>
    </xf>
    <xf numFmtId="179" fontId="50" fillId="0" borderId="7" xfId="135" applyNumberFormat="1" applyFont="1" applyBorder="1"/>
    <xf numFmtId="179" fontId="49" fillId="0" borderId="4" xfId="0" applyNumberFormat="1" applyFont="1" applyBorder="1"/>
    <xf numFmtId="43" fontId="8" fillId="5" borderId="4" xfId="14" applyNumberFormat="1" applyFont="1" applyFill="1" applyBorder="1">
      <alignment vertical="center"/>
    </xf>
    <xf numFmtId="43" fontId="9" fillId="5" borderId="4" xfId="14" applyNumberFormat="1" applyFont="1" applyFill="1" applyBorder="1">
      <alignment vertical="center"/>
    </xf>
    <xf numFmtId="0" fontId="9" fillId="4" borderId="4" xfId="63" applyFont="1" applyFill="1" applyBorder="1" applyAlignment="1">
      <alignment horizontal="center" vertical="center"/>
    </xf>
    <xf numFmtId="0" fontId="9" fillId="4" borderId="4" xfId="63" applyFont="1" applyFill="1" applyBorder="1" applyAlignment="1">
      <alignment horizontal="center" vertical="center" wrapText="1"/>
    </xf>
    <xf numFmtId="0" fontId="9" fillId="0" borderId="0" xfId="10" applyFont="1" applyBorder="1" applyAlignment="1">
      <alignment horizontal="center" vertical="center"/>
    </xf>
    <xf numFmtId="166" fontId="9" fillId="0" borderId="7" xfId="64" applyFont="1" applyBorder="1"/>
    <xf numFmtId="0" fontId="8" fillId="0" borderId="7" xfId="10" applyFont="1" applyBorder="1"/>
    <xf numFmtId="0" fontId="39" fillId="0" borderId="4" xfId="14" applyFont="1" applyBorder="1" applyAlignment="1">
      <alignment horizontal="center" vertical="center"/>
    </xf>
    <xf numFmtId="0" fontId="39" fillId="0" borderId="0" xfId="14" applyFont="1">
      <alignment vertical="center"/>
    </xf>
    <xf numFmtId="166" fontId="8" fillId="0" borderId="4" xfId="64" applyFont="1" applyFill="1" applyBorder="1" applyAlignment="1">
      <alignment horizontal="right" vertical="center"/>
    </xf>
    <xf numFmtId="10" fontId="8" fillId="0" borderId="4" xfId="65" applyNumberFormat="1" applyFont="1" applyFill="1" applyBorder="1" applyAlignment="1">
      <alignment horizontal="right" vertical="center"/>
    </xf>
    <xf numFmtId="166" fontId="9" fillId="7" borderId="4" xfId="64" applyFont="1" applyFill="1" applyBorder="1" applyAlignment="1">
      <alignment horizontal="center" vertical="center"/>
    </xf>
    <xf numFmtId="10" fontId="8" fillId="7" borderId="4" xfId="65" applyNumberFormat="1" applyFont="1" applyFill="1" applyBorder="1" applyAlignment="1">
      <alignment horizontal="right" vertical="center"/>
    </xf>
    <xf numFmtId="10" fontId="9" fillId="7" borderId="4" xfId="65" applyNumberFormat="1" applyFont="1" applyFill="1" applyBorder="1" applyAlignment="1">
      <alignment horizontal="right" vertical="center"/>
    </xf>
    <xf numFmtId="166" fontId="8" fillId="0" borderId="4" xfId="64" applyFont="1" applyBorder="1" applyAlignment="1">
      <alignment horizontal="center" vertical="center"/>
    </xf>
    <xf numFmtId="166" fontId="9" fillId="0" borderId="4" xfId="64" applyFont="1" applyBorder="1" applyAlignment="1">
      <alignment horizontal="center" vertical="center"/>
    </xf>
    <xf numFmtId="10" fontId="8" fillId="0" borderId="4" xfId="65" applyNumberFormat="1" applyFont="1" applyBorder="1" applyAlignment="1">
      <alignment horizontal="right" vertical="center"/>
    </xf>
    <xf numFmtId="166" fontId="9" fillId="0" borderId="4" xfId="64" applyFont="1" applyFill="1" applyBorder="1" applyAlignment="1">
      <alignment vertical="top" wrapText="1"/>
    </xf>
    <xf numFmtId="10" fontId="8" fillId="0" borderId="4" xfId="65" applyNumberFormat="1" applyFont="1" applyBorder="1" applyAlignment="1">
      <alignment horizontal="center" vertical="center"/>
    </xf>
    <xf numFmtId="0" fontId="9" fillId="12" borderId="4" xfId="14" applyFont="1" applyFill="1" applyBorder="1" applyAlignment="1">
      <alignment vertical="center" wrapText="1"/>
    </xf>
    <xf numFmtId="166" fontId="28" fillId="7" borderId="0" xfId="64" applyFont="1" applyFill="1" applyBorder="1" applyAlignment="1">
      <alignment horizontal="left"/>
    </xf>
    <xf numFmtId="43" fontId="28" fillId="7" borderId="0" xfId="10" applyNumberFormat="1" applyFont="1" applyFill="1" applyBorder="1" applyAlignment="1">
      <alignment horizontal="left"/>
    </xf>
    <xf numFmtId="166" fontId="28" fillId="7" borderId="0" xfId="64" applyFont="1" applyFill="1" applyBorder="1" applyAlignment="1">
      <alignment horizontal="center"/>
    </xf>
    <xf numFmtId="166" fontId="8" fillId="7" borderId="4" xfId="64" applyFont="1" applyFill="1" applyBorder="1" applyAlignment="1">
      <alignment horizontal="left" vertical="center"/>
    </xf>
    <xf numFmtId="166" fontId="8" fillId="0" borderId="0" xfId="64" applyFont="1" applyBorder="1" applyAlignment="1">
      <alignment vertical="center"/>
    </xf>
    <xf numFmtId="166" fontId="8" fillId="0" borderId="0" xfId="64" applyFont="1" applyFill="1" applyBorder="1" applyAlignment="1">
      <alignment vertical="center"/>
    </xf>
    <xf numFmtId="166" fontId="9" fillId="0" borderId="4" xfId="64" applyFont="1" applyFill="1" applyBorder="1"/>
    <xf numFmtId="43" fontId="9" fillId="0" borderId="4" xfId="10" applyNumberFormat="1" applyFont="1" applyFill="1" applyBorder="1"/>
    <xf numFmtId="43" fontId="8" fillId="0" borderId="0" xfId="10" applyNumberFormat="1" applyFont="1"/>
    <xf numFmtId="43" fontId="8" fillId="0" borderId="0" xfId="10" applyNumberFormat="1" applyFont="1" applyBorder="1"/>
    <xf numFmtId="0" fontId="105" fillId="8" borderId="4" xfId="517" applyFont="1" applyFill="1" applyBorder="1" applyAlignment="1"/>
    <xf numFmtId="0" fontId="105" fillId="63" borderId="4" xfId="517" applyFont="1" applyFill="1" applyBorder="1" applyAlignment="1"/>
    <xf numFmtId="0" fontId="104" fillId="0" borderId="0" xfId="517" applyFont="1" applyAlignment="1"/>
    <xf numFmtId="43" fontId="104" fillId="0" borderId="4" xfId="517" applyNumberFormat="1" applyFont="1" applyBorder="1"/>
    <xf numFmtId="0" fontId="12" fillId="0" borderId="4" xfId="283" applyFont="1" applyFill="1" applyBorder="1" applyAlignment="1">
      <alignment horizontal="left" vertical="center" wrapText="1" shrinkToFit="1"/>
    </xf>
    <xf numFmtId="9" fontId="105" fillId="0" borderId="4" xfId="517" applyNumberFormat="1" applyFont="1" applyBorder="1" applyAlignment="1">
      <alignment horizontal="center" vertical="center" shrinkToFit="1" readingOrder="1"/>
    </xf>
    <xf numFmtId="166" fontId="112" fillId="0" borderId="4" xfId="64" applyFont="1" applyFill="1" applyBorder="1" applyAlignment="1">
      <alignment vertical="center"/>
    </xf>
    <xf numFmtId="0" fontId="9" fillId="0" borderId="4" xfId="10" applyFont="1" applyFill="1" applyBorder="1" applyAlignment="1" applyProtection="1">
      <alignment horizontal="center" vertical="center"/>
    </xf>
    <xf numFmtId="2" fontId="9" fillId="7" borderId="4" xfId="14" applyNumberFormat="1" applyFont="1" applyFill="1" applyBorder="1" applyAlignment="1">
      <alignment horizontal="center" vertical="center"/>
    </xf>
    <xf numFmtId="166" fontId="8" fillId="0" borderId="4" xfId="64" applyFont="1" applyFill="1" applyBorder="1" applyAlignment="1">
      <alignment horizontal="center" vertical="center" wrapText="1"/>
    </xf>
    <xf numFmtId="166" fontId="9" fillId="0" borderId="4" xfId="64" applyFont="1" applyFill="1" applyBorder="1" applyAlignment="1">
      <alignment vertical="center"/>
    </xf>
    <xf numFmtId="0" fontId="34" fillId="7" borderId="4" xfId="13" applyFont="1" applyFill="1" applyBorder="1"/>
    <xf numFmtId="166" fontId="34" fillId="7" borderId="4" xfId="64" applyFont="1" applyFill="1" applyBorder="1"/>
    <xf numFmtId="10" fontId="34" fillId="7" borderId="4" xfId="65" applyNumberFormat="1" applyFont="1" applyFill="1" applyBorder="1"/>
    <xf numFmtId="43" fontId="34" fillId="7" borderId="4" xfId="13" applyNumberFormat="1" applyFont="1" applyFill="1" applyBorder="1"/>
    <xf numFmtId="15" fontId="8" fillId="7" borderId="0" xfId="10" applyNumberFormat="1" applyFont="1" applyFill="1" applyBorder="1" applyAlignment="1">
      <alignment horizontal="left"/>
    </xf>
    <xf numFmtId="166" fontId="8" fillId="7" borderId="0" xfId="64" applyFont="1" applyFill="1" applyBorder="1" applyAlignment="1">
      <alignment horizontal="left"/>
    </xf>
    <xf numFmtId="192" fontId="113" fillId="0" borderId="0" xfId="519" applyNumberFormat="1" applyFont="1"/>
    <xf numFmtId="0" fontId="114" fillId="2" borderId="4" xfId="10" applyFont="1" applyFill="1" applyBorder="1" applyAlignment="1">
      <alignment horizontal="center" vertical="center" wrapText="1"/>
    </xf>
    <xf numFmtId="192" fontId="114" fillId="2" borderId="4" xfId="10" applyNumberFormat="1" applyFont="1" applyFill="1" applyBorder="1" applyAlignment="1">
      <alignment horizontal="center" vertical="center" wrapText="1"/>
    </xf>
    <xf numFmtId="192" fontId="115" fillId="0" borderId="0" xfId="10" applyNumberFormat="1" applyFont="1" applyFill="1"/>
    <xf numFmtId="0" fontId="115" fillId="0" borderId="0" xfId="10" applyFont="1"/>
    <xf numFmtId="179" fontId="115" fillId="0" borderId="0" xfId="26" applyNumberFormat="1" applyFont="1"/>
    <xf numFmtId="0" fontId="115" fillId="0" borderId="0" xfId="10" applyFont="1" applyAlignment="1">
      <alignment horizontal="center" vertical="center"/>
    </xf>
    <xf numFmtId="0" fontId="114" fillId="0" borderId="4" xfId="10" applyFont="1" applyFill="1" applyBorder="1" applyAlignment="1">
      <alignment horizontal="center" vertical="center" wrapText="1"/>
    </xf>
    <xf numFmtId="192" fontId="114" fillId="0" borderId="4" xfId="10" applyNumberFormat="1" applyFont="1" applyFill="1" applyBorder="1" applyAlignment="1">
      <alignment horizontal="center" vertical="center" wrapText="1"/>
    </xf>
    <xf numFmtId="179" fontId="114" fillId="0" borderId="4" xfId="26" applyNumberFormat="1" applyFont="1" applyFill="1" applyBorder="1" applyAlignment="1">
      <alignment horizontal="center" vertical="center" wrapText="1"/>
    </xf>
    <xf numFmtId="10" fontId="114" fillId="0" borderId="4" xfId="48" applyNumberFormat="1" applyFont="1" applyFill="1" applyBorder="1" applyAlignment="1">
      <alignment horizontal="center" vertical="center" wrapText="1"/>
    </xf>
    <xf numFmtId="0" fontId="114" fillId="0" borderId="4" xfId="10" applyFont="1" applyFill="1" applyBorder="1" applyAlignment="1">
      <alignment horizontal="center" vertical="center"/>
    </xf>
    <xf numFmtId="173" fontId="113" fillId="0" borderId="4" xfId="519" applyNumberFormat="1" applyFont="1" applyFill="1" applyBorder="1"/>
    <xf numFmtId="0" fontId="113" fillId="0" borderId="4" xfId="519" applyFont="1" applyFill="1" applyBorder="1"/>
    <xf numFmtId="43" fontId="113" fillId="0" borderId="4" xfId="520" applyFont="1" applyBorder="1"/>
    <xf numFmtId="173" fontId="113" fillId="15" borderId="4" xfId="519" applyNumberFormat="1" applyFont="1" applyFill="1" applyBorder="1"/>
    <xf numFmtId="173" fontId="113" fillId="0" borderId="4" xfId="519" applyNumberFormat="1" applyFont="1" applyBorder="1"/>
    <xf numFmtId="173" fontId="113" fillId="66" borderId="4" xfId="519" applyNumberFormat="1" applyFont="1" applyFill="1" applyBorder="1"/>
    <xf numFmtId="0" fontId="113" fillId="0" borderId="0" xfId="519" applyFont="1"/>
    <xf numFmtId="0" fontId="9" fillId="0" borderId="4" xfId="63" applyFont="1" applyFill="1" applyBorder="1" applyAlignment="1">
      <alignment horizontal="center" vertical="center" wrapText="1"/>
    </xf>
    <xf numFmtId="0" fontId="9" fillId="0" borderId="4" xfId="63" applyFont="1" applyFill="1" applyBorder="1" applyAlignment="1">
      <alignment horizontal="left" vertical="center" wrapText="1"/>
    </xf>
    <xf numFmtId="0" fontId="9" fillId="0" borderId="4" xfId="14" applyFont="1" applyFill="1" applyBorder="1" applyAlignment="1">
      <alignment horizontal="center" vertical="top" wrapText="1"/>
    </xf>
    <xf numFmtId="0" fontId="8" fillId="0" borderId="4" xfId="14" applyFont="1" applyFill="1" applyBorder="1" applyAlignment="1">
      <alignment horizontal="center" vertical="top" wrapText="1"/>
    </xf>
    <xf numFmtId="43" fontId="9" fillId="0" borderId="4" xfId="14" applyNumberFormat="1" applyFont="1" applyFill="1" applyBorder="1" applyAlignment="1">
      <alignment horizontal="left" vertical="center"/>
    </xf>
    <xf numFmtId="17" fontId="51" fillId="59" borderId="0" xfId="0" applyNumberFormat="1" applyFont="1" applyFill="1" applyBorder="1" applyAlignment="1">
      <alignment vertical="center"/>
    </xf>
    <xf numFmtId="1" fontId="51" fillId="13" borderId="0" xfId="0" applyNumberFormat="1" applyFont="1" applyFill="1" applyBorder="1" applyAlignment="1">
      <alignment horizontal="center" vertical="center"/>
    </xf>
    <xf numFmtId="2" fontId="51" fillId="13" borderId="0" xfId="0" applyNumberFormat="1" applyFont="1" applyFill="1" applyBorder="1"/>
    <xf numFmtId="0" fontId="50" fillId="0" borderId="0" xfId="0" applyFont="1"/>
    <xf numFmtId="0" fontId="51" fillId="67" borderId="4" xfId="0" applyFont="1" applyFill="1" applyBorder="1" applyAlignment="1">
      <alignment horizontal="center" vertical="center" wrapText="1"/>
    </xf>
    <xf numFmtId="17" fontId="51" fillId="67" borderId="4" xfId="0" applyNumberFormat="1" applyFont="1" applyFill="1" applyBorder="1" applyAlignment="1">
      <alignment horizontal="center" vertical="center" wrapText="1"/>
    </xf>
    <xf numFmtId="0" fontId="51" fillId="67" borderId="4" xfId="0" applyFont="1" applyFill="1" applyBorder="1" applyAlignment="1">
      <alignment vertical="center"/>
    </xf>
    <xf numFmtId="0" fontId="50" fillId="0" borderId="4" xfId="0" applyFont="1" applyFill="1" applyBorder="1" applyAlignment="1">
      <alignment horizontal="center" vertical="center" wrapText="1"/>
    </xf>
    <xf numFmtId="179" fontId="50" fillId="0" borderId="4" xfId="64" applyNumberFormat="1" applyFont="1" applyFill="1" applyBorder="1" applyAlignment="1">
      <alignment horizontal="center" vertical="center" wrapText="1"/>
    </xf>
    <xf numFmtId="0" fontId="50" fillId="0" borderId="4" xfId="0" applyFont="1" applyFill="1" applyBorder="1" applyAlignment="1">
      <alignment horizontal="left" vertical="center"/>
    </xf>
    <xf numFmtId="179" fontId="51" fillId="67" borderId="4" xfId="64" applyNumberFormat="1" applyFont="1" applyFill="1" applyBorder="1" applyAlignment="1">
      <alignment horizontal="center" vertical="center" wrapText="1"/>
    </xf>
    <xf numFmtId="179" fontId="51" fillId="60" borderId="4" xfId="64" applyNumberFormat="1" applyFont="1" applyFill="1" applyBorder="1" applyAlignment="1">
      <alignment horizontal="center" vertical="center" wrapText="1"/>
    </xf>
    <xf numFmtId="0" fontId="51" fillId="60" borderId="4" xfId="0" applyFont="1" applyFill="1" applyBorder="1" applyAlignment="1">
      <alignment vertical="center" wrapText="1"/>
    </xf>
    <xf numFmtId="0" fontId="46" fillId="0" borderId="0" xfId="0" applyFont="1"/>
    <xf numFmtId="17" fontId="51" fillId="13" borderId="4" xfId="0" applyNumberFormat="1" applyFont="1" applyFill="1" applyBorder="1" applyAlignment="1">
      <alignment horizontal="center" vertical="center" wrapText="1"/>
    </xf>
    <xf numFmtId="0" fontId="51" fillId="14" borderId="4" xfId="0" applyFont="1" applyFill="1" applyBorder="1" applyAlignment="1">
      <alignment vertical="center"/>
    </xf>
    <xf numFmtId="0" fontId="51" fillId="59" borderId="4" xfId="0" applyFont="1" applyFill="1" applyBorder="1" applyAlignment="1">
      <alignment vertical="center" wrapText="1"/>
    </xf>
    <xf numFmtId="179" fontId="51" fillId="0" borderId="4" xfId="64" applyNumberFormat="1" applyFont="1" applyFill="1" applyBorder="1" applyAlignment="1">
      <alignment horizontal="center" vertical="center" wrapText="1"/>
    </xf>
    <xf numFmtId="4" fontId="50" fillId="0" borderId="0" xfId="0" applyNumberFormat="1" applyFont="1"/>
    <xf numFmtId="1" fontId="50" fillId="0" borderId="0" xfId="0" applyNumberFormat="1" applyFont="1"/>
    <xf numFmtId="166" fontId="50" fillId="0" borderId="0" xfId="0" applyNumberFormat="1" applyFont="1"/>
    <xf numFmtId="0" fontId="51" fillId="59" borderId="4" xfId="0" applyFont="1" applyFill="1" applyBorder="1" applyAlignment="1">
      <alignment vertical="center"/>
    </xf>
    <xf numFmtId="166" fontId="50" fillId="0" borderId="4" xfId="64" applyFont="1" applyFill="1" applyBorder="1" applyAlignment="1">
      <alignment horizontal="center" vertical="center" wrapText="1"/>
    </xf>
    <xf numFmtId="166" fontId="51" fillId="0" borderId="4" xfId="64" applyFont="1" applyFill="1" applyBorder="1" applyAlignment="1">
      <alignment horizontal="center" vertical="center" wrapText="1"/>
    </xf>
    <xf numFmtId="166" fontId="50" fillId="0" borderId="0" xfId="64" applyFont="1"/>
    <xf numFmtId="0" fontId="9" fillId="4" borderId="4" xfId="10" applyFont="1" applyFill="1" applyBorder="1" applyAlignment="1">
      <alignment horizontal="center" vertical="center" wrapText="1"/>
    </xf>
    <xf numFmtId="0" fontId="9" fillId="0" borderId="0" xfId="10" applyFont="1" applyFill="1" applyBorder="1" applyAlignment="1">
      <alignment horizontal="center" vertical="center" wrapText="1"/>
    </xf>
    <xf numFmtId="193" fontId="48" fillId="0" borderId="0" xfId="0" applyNumberFormat="1" applyFont="1"/>
    <xf numFmtId="194" fontId="50" fillId="0" borderId="4" xfId="64" applyNumberFormat="1" applyFont="1" applyFill="1" applyBorder="1" applyAlignment="1">
      <alignment horizontal="center" vertical="center" wrapText="1"/>
    </xf>
    <xf numFmtId="2" fontId="9" fillId="5" borderId="4" xfId="14" applyNumberFormat="1" applyFont="1" applyFill="1" applyBorder="1">
      <alignment vertical="center"/>
    </xf>
    <xf numFmtId="0" fontId="117" fillId="0" borderId="4" xfId="0" applyFont="1" applyBorder="1" applyAlignment="1">
      <alignment vertical="center"/>
    </xf>
    <xf numFmtId="0" fontId="116" fillId="0" borderId="4" xfId="0" applyFont="1" applyBorder="1" applyAlignment="1">
      <alignment horizontal="center" vertical="center"/>
    </xf>
    <xf numFmtId="0" fontId="117" fillId="0" borderId="4" xfId="0" applyFont="1" applyBorder="1" applyAlignment="1">
      <alignment horizontal="right" vertical="center"/>
    </xf>
    <xf numFmtId="0" fontId="117" fillId="0" borderId="4" xfId="0" applyFont="1" applyBorder="1" applyAlignment="1">
      <alignment horizontal="center" vertical="center"/>
    </xf>
    <xf numFmtId="0" fontId="117" fillId="0" borderId="4" xfId="0" applyFont="1" applyBorder="1" applyAlignment="1">
      <alignment vertical="center" wrapText="1"/>
    </xf>
    <xf numFmtId="0" fontId="9" fillId="4" borderId="4" xfId="10" applyFont="1" applyFill="1" applyBorder="1" applyAlignment="1">
      <alignment horizontal="center" vertical="center" wrapText="1"/>
    </xf>
    <xf numFmtId="0" fontId="8" fillId="0" borderId="0" xfId="10" applyFont="1" applyFill="1" applyBorder="1" applyAlignment="1" applyProtection="1">
      <alignment horizontal="left" vertical="center"/>
    </xf>
    <xf numFmtId="166" fontId="8" fillId="0" borderId="0" xfId="64" applyFont="1" applyFill="1" applyBorder="1" applyAlignment="1" applyProtection="1">
      <alignment horizontal="left" vertical="center"/>
    </xf>
    <xf numFmtId="166" fontId="9" fillId="0" borderId="0" xfId="64" applyFont="1" applyFill="1" applyBorder="1" applyAlignment="1" applyProtection="1">
      <alignment horizontal="center" vertical="center" wrapText="1"/>
    </xf>
    <xf numFmtId="166" fontId="9" fillId="0" borderId="0" xfId="64" applyFont="1" applyFill="1" applyBorder="1" applyAlignment="1" applyProtection="1">
      <alignment horizontal="left" vertical="center"/>
    </xf>
    <xf numFmtId="0" fontId="9" fillId="0" borderId="0" xfId="63" applyFont="1" applyFill="1" applyBorder="1" applyAlignment="1">
      <alignment vertical="center" wrapText="1"/>
    </xf>
    <xf numFmtId="0" fontId="9" fillId="0" borderId="0" xfId="14" applyFont="1" applyFill="1" applyBorder="1" applyAlignment="1">
      <alignment vertical="center"/>
    </xf>
    <xf numFmtId="43" fontId="8" fillId="0" borderId="0" xfId="27" applyNumberFormat="1" applyFont="1" applyBorder="1"/>
    <xf numFmtId="0" fontId="9" fillId="0" borderId="0" xfId="10" applyFont="1" applyFill="1" applyBorder="1" applyAlignment="1">
      <alignment wrapText="1"/>
    </xf>
    <xf numFmtId="0" fontId="29" fillId="0" borderId="0" xfId="10" applyFont="1" applyFill="1" applyBorder="1" applyAlignment="1">
      <alignment wrapText="1"/>
    </xf>
    <xf numFmtId="0" fontId="9" fillId="0" borderId="0" xfId="10" quotePrefix="1" applyFont="1" applyFill="1" applyBorder="1" applyAlignment="1">
      <alignment horizontal="left" vertical="top" wrapText="1"/>
    </xf>
    <xf numFmtId="166" fontId="8" fillId="0" borderId="0" xfId="64" quotePrefix="1" applyFont="1" applyFill="1" applyBorder="1" applyAlignment="1">
      <alignment horizontal="center" vertical="top" wrapText="1"/>
    </xf>
    <xf numFmtId="0" fontId="8" fillId="0" borderId="0" xfId="10" applyFont="1" applyFill="1" applyBorder="1" applyAlignment="1">
      <alignment horizontal="center" vertical="top"/>
    </xf>
    <xf numFmtId="0" fontId="8" fillId="0" borderId="0" xfId="10" quotePrefix="1" applyFont="1" applyFill="1" applyBorder="1" applyAlignment="1">
      <alignment horizontal="left" vertical="top" wrapText="1"/>
    </xf>
    <xf numFmtId="166" fontId="9" fillId="0" borderId="0" xfId="64" quotePrefix="1" applyFont="1" applyFill="1" applyBorder="1" applyAlignment="1">
      <alignment horizontal="center" vertical="top" wrapText="1"/>
    </xf>
    <xf numFmtId="43" fontId="8" fillId="0" borderId="0" xfId="10" applyNumberFormat="1" applyFont="1" applyFill="1" applyBorder="1"/>
    <xf numFmtId="0" fontId="9" fillId="4" borderId="4" xfId="63" applyFont="1" applyFill="1" applyBorder="1" applyAlignment="1">
      <alignment horizontal="center" vertical="center" wrapText="1"/>
    </xf>
    <xf numFmtId="10" fontId="104" fillId="15" borderId="4" xfId="517" applyNumberFormat="1" applyFont="1" applyFill="1" applyBorder="1" applyAlignment="1">
      <alignment horizontal="center" vertical="center" shrinkToFit="1" readingOrder="1"/>
    </xf>
    <xf numFmtId="9" fontId="48" fillId="0" borderId="0" xfId="65" applyFont="1"/>
    <xf numFmtId="195" fontId="48" fillId="0" borderId="0" xfId="65" applyNumberFormat="1" applyFont="1"/>
    <xf numFmtId="164" fontId="48" fillId="0" borderId="0" xfId="0" applyNumberFormat="1" applyFont="1"/>
    <xf numFmtId="1" fontId="8" fillId="5" borderId="4" xfId="14" applyNumberFormat="1" applyFont="1" applyFill="1" applyBorder="1">
      <alignment vertical="center"/>
    </xf>
    <xf numFmtId="179" fontId="9" fillId="5" borderId="4" xfId="64" applyNumberFormat="1" applyFont="1" applyFill="1" applyBorder="1" applyAlignment="1">
      <alignment vertical="center"/>
    </xf>
    <xf numFmtId="170" fontId="9" fillId="5" borderId="4" xfId="14" applyNumberFormat="1" applyFont="1" applyFill="1" applyBorder="1">
      <alignment vertical="center"/>
    </xf>
    <xf numFmtId="179" fontId="8" fillId="5" borderId="4" xfId="64" applyNumberFormat="1" applyFont="1" applyFill="1" applyBorder="1" applyAlignment="1">
      <alignment vertical="center"/>
    </xf>
    <xf numFmtId="179" fontId="8" fillId="5" borderId="4" xfId="14" applyNumberFormat="1" applyFont="1" applyFill="1" applyBorder="1">
      <alignment vertical="center"/>
    </xf>
    <xf numFmtId="166" fontId="33" fillId="7" borderId="4" xfId="64" applyFont="1" applyFill="1" applyBorder="1"/>
    <xf numFmtId="166" fontId="9" fillId="7" borderId="4" xfId="64" applyFont="1" applyFill="1" applyBorder="1" applyAlignment="1">
      <alignment vertical="center"/>
    </xf>
    <xf numFmtId="166" fontId="28" fillId="7" borderId="0" xfId="10" applyNumberFormat="1" applyFont="1" applyFill="1" applyBorder="1" applyAlignment="1">
      <alignment horizontal="left"/>
    </xf>
    <xf numFmtId="0" fontId="38" fillId="0" borderId="0" xfId="0" applyFont="1"/>
    <xf numFmtId="10" fontId="38" fillId="0" borderId="4" xfId="65" applyNumberFormat="1" applyFont="1" applyBorder="1"/>
    <xf numFmtId="10" fontId="0" fillId="15" borderId="4" xfId="65" applyNumberFormat="1" applyFont="1" applyFill="1" applyBorder="1"/>
    <xf numFmtId="2" fontId="8" fillId="0" borderId="4" xfId="15" applyNumberFormat="1" applyFont="1" applyFill="1" applyBorder="1" applyAlignment="1">
      <alignment horizontal="right" vertical="center"/>
    </xf>
    <xf numFmtId="2" fontId="33" fillId="0" borderId="4" xfId="19" applyNumberFormat="1" applyFont="1" applyBorder="1" applyAlignment="1">
      <alignment horizontal="center" vertical="center"/>
    </xf>
    <xf numFmtId="2" fontId="34" fillId="0" borderId="4" xfId="19" applyNumberFormat="1" applyFont="1" applyBorder="1" applyAlignment="1">
      <alignment horizontal="center" vertical="center"/>
    </xf>
    <xf numFmtId="166" fontId="50" fillId="0" borderId="4" xfId="135" applyNumberFormat="1" applyFont="1" applyBorder="1"/>
    <xf numFmtId="197" fontId="8" fillId="5" borderId="4" xfId="14" applyNumberFormat="1" applyFont="1" applyFill="1" applyBorder="1">
      <alignment vertical="center"/>
    </xf>
    <xf numFmtId="0" fontId="8" fillId="5" borderId="4" xfId="14" applyFont="1" applyFill="1" applyBorder="1" applyAlignment="1">
      <alignment vertical="center" wrapText="1"/>
    </xf>
    <xf numFmtId="1" fontId="9" fillId="5" borderId="4" xfId="14" applyNumberFormat="1" applyFont="1" applyFill="1" applyBorder="1">
      <alignment vertical="center"/>
    </xf>
    <xf numFmtId="179" fontId="9" fillId="5" borderId="4" xfId="14" applyNumberFormat="1" applyFont="1" applyFill="1" applyBorder="1">
      <alignment vertical="center"/>
    </xf>
    <xf numFmtId="197" fontId="9" fillId="5" borderId="4" xfId="14" applyNumberFormat="1" applyFont="1" applyFill="1" applyBorder="1">
      <alignment vertical="center"/>
    </xf>
    <xf numFmtId="0" fontId="9" fillId="7" borderId="4" xfId="14" applyFont="1" applyFill="1" applyBorder="1">
      <alignment vertical="center"/>
    </xf>
    <xf numFmtId="196" fontId="8" fillId="0" borderId="4" xfId="64" applyNumberFormat="1" applyFont="1" applyBorder="1" applyAlignment="1">
      <alignment vertical="center"/>
    </xf>
    <xf numFmtId="43" fontId="8" fillId="0" borderId="4" xfId="14" applyNumberFormat="1" applyFont="1" applyFill="1" applyBorder="1" applyAlignment="1">
      <alignment horizontal="left" vertical="center"/>
    </xf>
    <xf numFmtId="179" fontId="48" fillId="15" borderId="0" xfId="0" applyNumberFormat="1" applyFont="1" applyFill="1"/>
    <xf numFmtId="0" fontId="49" fillId="15" borderId="0" xfId="0" applyFont="1" applyFill="1" applyAlignment="1">
      <alignment horizontal="center"/>
    </xf>
    <xf numFmtId="166" fontId="30" fillId="0" borderId="4" xfId="64" applyFont="1" applyFill="1" applyBorder="1" applyAlignment="1">
      <alignment horizontal="right" vertical="center"/>
    </xf>
    <xf numFmtId="10" fontId="28" fillId="7" borderId="0" xfId="10" applyNumberFormat="1" applyFont="1" applyFill="1" applyBorder="1" applyAlignment="1">
      <alignment horizontal="left"/>
    </xf>
    <xf numFmtId="10" fontId="8" fillId="0" borderId="0" xfId="0" applyNumberFormat="1" applyFont="1"/>
    <xf numFmtId="10" fontId="8" fillId="0" borderId="0" xfId="65" applyNumberFormat="1" applyFont="1"/>
    <xf numFmtId="0" fontId="48" fillId="0" borderId="0" xfId="553" applyFont="1" applyFill="1" applyBorder="1"/>
    <xf numFmtId="0" fontId="46" fillId="0" borderId="0" xfId="553" applyFont="1"/>
    <xf numFmtId="0" fontId="40" fillId="0" borderId="0" xfId="553" applyFont="1" applyFill="1" applyBorder="1"/>
    <xf numFmtId="0" fontId="118" fillId="68" borderId="4" xfId="553" applyFont="1" applyFill="1" applyBorder="1"/>
    <xf numFmtId="0" fontId="118" fillId="68" borderId="4" xfId="553" applyFont="1" applyFill="1" applyBorder="1" applyAlignment="1">
      <alignment horizontal="right"/>
    </xf>
    <xf numFmtId="0" fontId="46" fillId="0" borderId="4" xfId="553" applyFont="1" applyBorder="1"/>
    <xf numFmtId="166" fontId="46" fillId="0" borderId="4" xfId="134" applyNumberFormat="1" applyFont="1" applyBorder="1" applyAlignment="1">
      <alignment horizontal="right"/>
    </xf>
    <xf numFmtId="0" fontId="118" fillId="0" borderId="0" xfId="553" applyFont="1"/>
    <xf numFmtId="10" fontId="46" fillId="0" borderId="0" xfId="553" applyNumberFormat="1" applyFont="1"/>
    <xf numFmtId="10" fontId="118" fillId="0" borderId="0" xfId="554" applyNumberFormat="1" applyFont="1" applyAlignment="1"/>
    <xf numFmtId="10" fontId="46" fillId="0" borderId="0" xfId="554" applyNumberFormat="1" applyFont="1" applyAlignment="1"/>
    <xf numFmtId="0" fontId="118" fillId="0" borderId="4" xfId="553" applyFont="1" applyBorder="1"/>
    <xf numFmtId="166" fontId="118" fillId="0" borderId="4" xfId="134" applyNumberFormat="1" applyFont="1" applyBorder="1" applyAlignment="1">
      <alignment horizontal="right"/>
    </xf>
    <xf numFmtId="0" fontId="118" fillId="69" borderId="4" xfId="553" applyFont="1" applyFill="1" applyBorder="1"/>
    <xf numFmtId="10" fontId="118" fillId="69" borderId="4" xfId="554" applyNumberFormat="1" applyFont="1" applyFill="1" applyBorder="1" applyAlignment="1">
      <alignment horizontal="right"/>
    </xf>
    <xf numFmtId="166" fontId="46" fillId="0" borderId="0" xfId="553" applyNumberFormat="1" applyFont="1"/>
    <xf numFmtId="10" fontId="46" fillId="0" borderId="0" xfId="409" applyNumberFormat="1" applyFont="1"/>
    <xf numFmtId="0" fontId="41" fillId="70" borderId="4" xfId="555" applyFont="1" applyFill="1" applyBorder="1"/>
    <xf numFmtId="0" fontId="43" fillId="0" borderId="4" xfId="555" applyFont="1" applyFill="1" applyBorder="1"/>
    <xf numFmtId="0" fontId="43" fillId="0" borderId="4" xfId="556" applyNumberFormat="1" applyFont="1" applyFill="1" applyBorder="1"/>
    <xf numFmtId="0" fontId="41" fillId="0" borderId="4" xfId="555" applyFont="1" applyFill="1" applyBorder="1"/>
    <xf numFmtId="166" fontId="41" fillId="0" borderId="4" xfId="557" applyFont="1" applyFill="1" applyBorder="1"/>
    <xf numFmtId="0" fontId="121" fillId="0" borderId="0" xfId="553" applyFont="1"/>
    <xf numFmtId="10" fontId="46" fillId="0" borderId="4" xfId="553" applyNumberFormat="1" applyFont="1" applyBorder="1"/>
    <xf numFmtId="10" fontId="118" fillId="0" borderId="4" xfId="553" applyNumberFormat="1" applyFont="1" applyBorder="1"/>
    <xf numFmtId="0" fontId="122" fillId="0" borderId="4" xfId="553" applyFont="1" applyBorder="1"/>
    <xf numFmtId="10" fontId="122" fillId="0" borderId="4" xfId="553" applyNumberFormat="1" applyFont="1" applyBorder="1"/>
    <xf numFmtId="0" fontId="9" fillId="4" borderId="4" xfId="10" applyFont="1" applyFill="1" applyBorder="1" applyAlignment="1">
      <alignment horizontal="center" vertical="center"/>
    </xf>
    <xf numFmtId="0" fontId="9" fillId="4" borderId="4" xfId="10" applyFont="1" applyFill="1" applyBorder="1" applyAlignment="1">
      <alignment horizontal="center" vertical="center" wrapText="1"/>
    </xf>
    <xf numFmtId="0" fontId="9" fillId="0" borderId="0" xfId="10" applyFont="1" applyBorder="1" applyAlignment="1">
      <alignment horizontal="center" vertical="center"/>
    </xf>
    <xf numFmtId="166" fontId="48" fillId="0" borderId="0" xfId="64" applyFont="1"/>
    <xf numFmtId="166" fontId="49" fillId="0" borderId="0" xfId="64" applyFont="1"/>
    <xf numFmtId="166" fontId="8" fillId="0" borderId="4" xfId="64" applyFont="1" applyFill="1" applyBorder="1" applyAlignment="1">
      <alignment vertical="top" wrapText="1"/>
    </xf>
    <xf numFmtId="198" fontId="8" fillId="0" borderId="0" xfId="14" applyNumberFormat="1" applyFont="1">
      <alignment vertical="center"/>
    </xf>
    <xf numFmtId="166" fontId="49" fillId="15" borderId="0" xfId="0" applyNumberFormat="1" applyFont="1" applyFill="1"/>
    <xf numFmtId="43" fontId="49" fillId="15" borderId="0" xfId="0" applyNumberFormat="1" applyFont="1" applyFill="1"/>
    <xf numFmtId="0" fontId="123" fillId="0" borderId="0" xfId="0" applyFont="1"/>
    <xf numFmtId="0" fontId="18" fillId="0" borderId="0" xfId="517" applyFont="1" applyBorder="1" applyAlignment="1">
      <alignment horizontal="left" vertical="center" wrapText="1" shrinkToFit="1"/>
    </xf>
    <xf numFmtId="9" fontId="104" fillId="0" borderId="0" xfId="517" applyNumberFormat="1" applyFont="1" applyBorder="1" applyAlignment="1">
      <alignment horizontal="center" vertical="center" shrinkToFit="1" readingOrder="1"/>
    </xf>
    <xf numFmtId="10" fontId="104" fillId="0" borderId="0" xfId="518" applyNumberFormat="1" applyFont="1" applyBorder="1" applyAlignment="1">
      <alignment horizontal="center" vertical="center" shrinkToFit="1" readingOrder="1"/>
    </xf>
    <xf numFmtId="10" fontId="104" fillId="7" borderId="0" xfId="518" applyNumberFormat="1" applyFont="1" applyFill="1" applyBorder="1" applyAlignment="1">
      <alignment horizontal="center" vertical="center" shrinkToFit="1" readingOrder="1"/>
    </xf>
    <xf numFmtId="166" fontId="49" fillId="0" borderId="0" xfId="0" applyNumberFormat="1" applyFont="1"/>
    <xf numFmtId="0" fontId="9" fillId="0" borderId="0" xfId="516" applyNumberFormat="1" applyFont="1" applyFill="1" applyBorder="1" applyAlignment="1" applyProtection="1">
      <alignment horizontal="left" vertical="top"/>
    </xf>
    <xf numFmtId="43" fontId="48" fillId="0" borderId="0" xfId="0" applyNumberFormat="1" applyFont="1"/>
    <xf numFmtId="166" fontId="8" fillId="0" borderId="0" xfId="14" applyNumberFormat="1" applyFont="1" applyFill="1" applyBorder="1" applyAlignment="1">
      <alignment horizontal="center" vertical="center"/>
    </xf>
    <xf numFmtId="0" fontId="8" fillId="0" borderId="4" xfId="10" applyFont="1" applyFill="1" applyBorder="1" applyAlignment="1">
      <alignment horizontal="center" vertical="center" wrapText="1"/>
    </xf>
    <xf numFmtId="0" fontId="8" fillId="0" borderId="0" xfId="10" applyFont="1" applyFill="1" applyBorder="1" applyAlignment="1">
      <alignment vertical="center" wrapText="1"/>
    </xf>
    <xf numFmtId="0" fontId="8" fillId="0" borderId="0" xfId="10" applyFont="1" applyFill="1" applyBorder="1" applyAlignment="1">
      <alignment horizontal="center" vertical="center" wrapText="1"/>
    </xf>
    <xf numFmtId="0" fontId="9" fillId="0" borderId="0" xfId="10" applyFont="1" applyFill="1" applyBorder="1" applyAlignment="1">
      <alignment horizontal="left" vertical="center"/>
    </xf>
    <xf numFmtId="0" fontId="8" fillId="0" borderId="0" xfId="10" applyFont="1" applyFill="1" applyBorder="1" applyAlignment="1">
      <alignment horizontal="center" vertical="center"/>
    </xf>
    <xf numFmtId="166" fontId="8" fillId="0" borderId="0" xfId="10" applyNumberFormat="1" applyFont="1" applyFill="1" applyBorder="1" applyAlignment="1">
      <alignment horizontal="center" vertical="center"/>
    </xf>
    <xf numFmtId="166" fontId="8" fillId="0" borderId="0" xfId="10" applyNumberFormat="1" applyFont="1" applyFill="1" applyBorder="1" applyAlignment="1">
      <alignment vertical="center"/>
    </xf>
    <xf numFmtId="43" fontId="8" fillId="5" borderId="0" xfId="14" applyNumberFormat="1" applyFont="1" applyFill="1">
      <alignment vertical="center"/>
    </xf>
    <xf numFmtId="9" fontId="9" fillId="4" borderId="4" xfId="65" applyFont="1" applyFill="1" applyBorder="1" applyAlignment="1">
      <alignment horizontal="center" vertical="center"/>
    </xf>
    <xf numFmtId="9" fontId="9" fillId="5" borderId="4" xfId="65" applyNumberFormat="1" applyFont="1" applyFill="1" applyBorder="1" applyAlignment="1">
      <alignment vertical="center"/>
    </xf>
    <xf numFmtId="0" fontId="49" fillId="59" borderId="0" xfId="0" applyFont="1" applyFill="1"/>
    <xf numFmtId="9" fontId="9" fillId="0" borderId="0" xfId="10" applyNumberFormat="1" applyFont="1"/>
    <xf numFmtId="166" fontId="42" fillId="0" borderId="4" xfId="64" applyFont="1" applyBorder="1" applyAlignment="1">
      <alignment horizontal="right" vertical="center"/>
    </xf>
    <xf numFmtId="9" fontId="42" fillId="0" borderId="4" xfId="65" applyFont="1" applyBorder="1" applyAlignment="1">
      <alignment horizontal="right" vertical="center"/>
    </xf>
    <xf numFmtId="9" fontId="42" fillId="0" borderId="4" xfId="10" applyNumberFormat="1" applyFont="1" applyBorder="1" applyAlignment="1">
      <alignment horizontal="right" vertical="center"/>
    </xf>
    <xf numFmtId="10" fontId="18" fillId="0" borderId="4" xfId="518" applyNumberFormat="1" applyFont="1" applyFill="1" applyBorder="1" applyAlignment="1">
      <alignment horizontal="center" vertical="center" shrinkToFit="1" readingOrder="1"/>
    </xf>
    <xf numFmtId="10" fontId="104" fillId="15" borderId="4" xfId="518" applyNumberFormat="1" applyFont="1" applyFill="1" applyBorder="1" applyAlignment="1">
      <alignment horizontal="center" vertical="center" shrinkToFit="1" readingOrder="1"/>
    </xf>
    <xf numFmtId="43" fontId="8" fillId="0" borderId="0" xfId="14" applyNumberFormat="1" applyFont="1">
      <alignment vertical="center"/>
    </xf>
    <xf numFmtId="166" fontId="8" fillId="15" borderId="4" xfId="14" applyNumberFormat="1" applyFont="1" applyFill="1" applyBorder="1">
      <alignment vertical="center"/>
    </xf>
    <xf numFmtId="2" fontId="9" fillId="0" borderId="0" xfId="10" applyNumberFormat="1" applyFont="1"/>
    <xf numFmtId="10" fontId="9" fillId="0" borderId="4" xfId="65" applyNumberFormat="1" applyFont="1" applyBorder="1" applyAlignment="1">
      <alignment vertical="center"/>
    </xf>
    <xf numFmtId="0" fontId="9" fillId="4" borderId="4" xfId="63" applyFont="1" applyFill="1" applyBorder="1" applyAlignment="1">
      <alignment horizontal="center" vertical="center" wrapText="1"/>
    </xf>
    <xf numFmtId="0" fontId="9" fillId="0" borderId="0" xfId="14" applyFont="1" applyBorder="1" applyAlignment="1">
      <alignment vertical="center"/>
    </xf>
    <xf numFmtId="166" fontId="8" fillId="0" borderId="0" xfId="14" applyNumberFormat="1" applyFont="1">
      <alignment vertical="center"/>
    </xf>
    <xf numFmtId="0" fontId="18" fillId="0" borderId="0" xfId="0" applyFont="1"/>
    <xf numFmtId="0" fontId="12" fillId="68" borderId="4" xfId="0" applyFont="1" applyFill="1" applyBorder="1" applyAlignment="1">
      <alignment horizontal="center" vertical="center" wrapText="1"/>
    </xf>
    <xf numFmtId="0" fontId="18" fillId="0" borderId="0" xfId="0" applyFont="1" applyAlignment="1">
      <alignment vertical="center"/>
    </xf>
    <xf numFmtId="0" fontId="12" fillId="0" borderId="4" xfId="10" applyFont="1" applyBorder="1" applyAlignment="1">
      <alignment vertical="center" wrapText="1"/>
    </xf>
    <xf numFmtId="0" fontId="18" fillId="0" borderId="4" xfId="10" applyFont="1" applyBorder="1" applyAlignment="1">
      <alignment vertical="center" wrapText="1"/>
    </xf>
    <xf numFmtId="0" fontId="12" fillId="69" borderId="4" xfId="0" applyFont="1" applyFill="1" applyBorder="1" applyAlignment="1">
      <alignment horizontal="center" vertical="center" wrapText="1"/>
    </xf>
    <xf numFmtId="0" fontId="18" fillId="65" borderId="4" xfId="0" applyFont="1" applyFill="1" applyBorder="1" applyAlignment="1">
      <alignment vertical="center"/>
    </xf>
    <xf numFmtId="179" fontId="18" fillId="65" borderId="4" xfId="64" applyNumberFormat="1" applyFont="1" applyFill="1" applyBorder="1" applyAlignment="1">
      <alignment vertical="center"/>
    </xf>
    <xf numFmtId="166" fontId="18" fillId="65" borderId="4" xfId="64" applyFont="1" applyFill="1" applyBorder="1" applyAlignment="1">
      <alignment vertical="center"/>
    </xf>
    <xf numFmtId="0" fontId="18" fillId="59" borderId="4" xfId="0" applyFont="1" applyFill="1" applyBorder="1" applyAlignment="1">
      <alignment vertical="center"/>
    </xf>
    <xf numFmtId="179" fontId="18" fillId="59" borderId="4" xfId="64" applyNumberFormat="1" applyFont="1" applyFill="1" applyBorder="1" applyAlignment="1">
      <alignment vertical="center"/>
    </xf>
    <xf numFmtId="166" fontId="18" fillId="59" borderId="4" xfId="64" applyFont="1" applyFill="1" applyBorder="1" applyAlignment="1">
      <alignment vertical="center"/>
    </xf>
    <xf numFmtId="0" fontId="18" fillId="71" borderId="4" xfId="0" applyFont="1" applyFill="1" applyBorder="1" applyAlignment="1">
      <alignment vertical="center"/>
    </xf>
    <xf numFmtId="179" fontId="18" fillId="71" borderId="4" xfId="64" applyNumberFormat="1" applyFont="1" applyFill="1" applyBorder="1" applyAlignment="1">
      <alignment vertical="center"/>
    </xf>
    <xf numFmtId="166" fontId="18" fillId="71" borderId="4" xfId="64" applyFont="1" applyFill="1" applyBorder="1" applyAlignment="1">
      <alignment vertical="center"/>
    </xf>
    <xf numFmtId="0" fontId="12" fillId="72" borderId="4" xfId="0" applyFont="1" applyFill="1" applyBorder="1" applyAlignment="1">
      <alignment horizontal="center" vertical="center" wrapText="1"/>
    </xf>
    <xf numFmtId="15" fontId="48" fillId="0" borderId="0" xfId="0" applyNumberFormat="1" applyFont="1"/>
    <xf numFmtId="0" fontId="124" fillId="0" borderId="0" xfId="0" applyFont="1"/>
    <xf numFmtId="10" fontId="46" fillId="0" borderId="0" xfId="65" applyNumberFormat="1" applyFont="1"/>
    <xf numFmtId="0" fontId="40" fillId="73" borderId="0" xfId="0" applyFont="1" applyFill="1"/>
    <xf numFmtId="0" fontId="40" fillId="4" borderId="4" xfId="10" applyFont="1" applyFill="1" applyBorder="1" applyAlignment="1">
      <alignment horizontal="center" vertical="center" wrapText="1"/>
    </xf>
    <xf numFmtId="166" fontId="40" fillId="4" borderId="4" xfId="134" applyFont="1" applyFill="1" applyBorder="1" applyAlignment="1">
      <alignment horizontal="center" vertical="center" wrapText="1"/>
    </xf>
    <xf numFmtId="0" fontId="40" fillId="0" borderId="4" xfId="0" applyFont="1" applyBorder="1" applyAlignment="1">
      <alignment vertical="top" wrapText="1"/>
    </xf>
    <xf numFmtId="166" fontId="42" fillId="0" borderId="4" xfId="134" applyFont="1" applyBorder="1"/>
    <xf numFmtId="10" fontId="42" fillId="0" borderId="4" xfId="409" applyNumberFormat="1" applyFont="1" applyBorder="1"/>
    <xf numFmtId="10" fontId="42" fillId="0" borderId="4" xfId="0" applyNumberFormat="1" applyFont="1" applyBorder="1"/>
    <xf numFmtId="43" fontId="18" fillId="0" borderId="4" xfId="0" applyNumberFormat="1" applyFont="1" applyBorder="1"/>
    <xf numFmtId="0" fontId="0" fillId="13" borderId="0" xfId="0" applyFill="1"/>
    <xf numFmtId="0" fontId="0" fillId="13" borderId="0" xfId="0" applyFill="1" applyAlignment="1">
      <alignment horizontal="left"/>
    </xf>
    <xf numFmtId="166" fontId="0" fillId="13" borderId="0" xfId="64" applyFont="1" applyFill="1"/>
    <xf numFmtId="0" fontId="38" fillId="13" borderId="0" xfId="0" applyFont="1" applyFill="1"/>
    <xf numFmtId="0" fontId="38" fillId="13" borderId="0" xfId="0" applyFont="1" applyFill="1" applyAlignment="1">
      <alignment horizontal="left"/>
    </xf>
    <xf numFmtId="166" fontId="38" fillId="13" borderId="0" xfId="64" applyFont="1" applyFill="1"/>
    <xf numFmtId="0" fontId="12" fillId="0" borderId="4" xfId="0" applyFont="1" applyBorder="1" applyAlignment="1">
      <alignment vertical="center"/>
    </xf>
    <xf numFmtId="166" fontId="39" fillId="0" borderId="0" xfId="64" applyFont="1" applyAlignment="1">
      <alignment vertical="center"/>
    </xf>
    <xf numFmtId="0" fontId="9" fillId="4" borderId="4" xfId="14" applyFont="1" applyFill="1" applyBorder="1" applyAlignment="1">
      <alignment horizontal="left" vertical="center"/>
    </xf>
    <xf numFmtId="0" fontId="40" fillId="10" borderId="4" xfId="10" applyFont="1" applyFill="1" applyBorder="1" applyAlignment="1">
      <alignment horizontal="center" vertical="center" wrapText="1"/>
    </xf>
    <xf numFmtId="0" fontId="9" fillId="4" borderId="4" xfId="63" applyFont="1" applyFill="1" applyBorder="1" applyAlignment="1">
      <alignment horizontal="center" vertical="center"/>
    </xf>
    <xf numFmtId="0" fontId="9" fillId="4" borderId="4" xfId="63" applyFont="1" applyFill="1" applyBorder="1" applyAlignment="1">
      <alignment horizontal="center" vertical="center" wrapText="1"/>
    </xf>
    <xf numFmtId="0" fontId="9" fillId="4" borderId="4" xfId="14" applyFont="1" applyFill="1" applyBorder="1" applyAlignment="1">
      <alignment horizontal="center" vertical="center" wrapText="1"/>
    </xf>
    <xf numFmtId="0" fontId="9" fillId="4" borderId="4" xfId="10" applyFont="1" applyFill="1" applyBorder="1" applyAlignment="1">
      <alignment horizontal="center" vertical="center"/>
    </xf>
    <xf numFmtId="0" fontId="9" fillId="4" borderId="4" xfId="10" applyFont="1" applyFill="1" applyBorder="1" applyAlignment="1">
      <alignment horizontal="center" vertical="center" wrapText="1"/>
    </xf>
    <xf numFmtId="0" fontId="9" fillId="4" borderId="5" xfId="14" applyFont="1" applyFill="1" applyBorder="1" applyAlignment="1">
      <alignment horizontal="center" vertical="center" wrapText="1"/>
    </xf>
    <xf numFmtId="0" fontId="9" fillId="0" borderId="0" xfId="10" applyFont="1" applyBorder="1" applyAlignment="1">
      <alignment horizontal="center" vertical="center"/>
    </xf>
    <xf numFmtId="166" fontId="8" fillId="0" borderId="4" xfId="64" applyFont="1" applyFill="1" applyBorder="1" applyAlignment="1">
      <alignment horizontal="center" vertical="center"/>
    </xf>
    <xf numFmtId="0" fontId="8" fillId="0" borderId="0" xfId="10" applyFont="1" applyAlignment="1">
      <alignment horizontal="left" vertical="center" wrapText="1"/>
    </xf>
    <xf numFmtId="0" fontId="9" fillId="0" borderId="0" xfId="10" applyFont="1" applyBorder="1" applyAlignment="1">
      <alignment horizontal="center" vertical="center" wrapText="1"/>
    </xf>
    <xf numFmtId="0" fontId="9" fillId="8" borderId="4" xfId="10" applyFont="1" applyFill="1" applyBorder="1" applyAlignment="1" applyProtection="1">
      <alignment horizontal="center" vertical="center" wrapText="1"/>
    </xf>
    <xf numFmtId="0" fontId="9" fillId="8" borderId="7" xfId="10" applyFont="1" applyFill="1" applyBorder="1" applyAlignment="1" applyProtection="1">
      <alignment horizontal="center" vertical="center" wrapText="1"/>
    </xf>
    <xf numFmtId="43" fontId="8" fillId="0" borderId="0" xfId="0" applyNumberFormat="1" applyFont="1"/>
    <xf numFmtId="166" fontId="8" fillId="0" borderId="0" xfId="64" applyFont="1" applyBorder="1"/>
    <xf numFmtId="10" fontId="104" fillId="0" borderId="0" xfId="65" applyNumberFormat="1" applyFont="1"/>
    <xf numFmtId="0" fontId="125" fillId="0" borderId="4" xfId="517" applyFont="1" applyBorder="1" applyAlignment="1">
      <alignment wrapText="1"/>
    </xf>
    <xf numFmtId="178" fontId="104" fillId="0" borderId="0" xfId="65" applyNumberFormat="1" applyFont="1"/>
    <xf numFmtId="0" fontId="8" fillId="7" borderId="4" xfId="14" applyFont="1" applyFill="1" applyBorder="1" applyAlignment="1">
      <alignment horizontal="left" vertical="center" wrapText="1"/>
    </xf>
    <xf numFmtId="166" fontId="8" fillId="7" borderId="4" xfId="64" applyFont="1" applyFill="1" applyBorder="1" applyAlignment="1">
      <alignment vertical="center" wrapText="1"/>
    </xf>
    <xf numFmtId="0" fontId="8" fillId="0" borderId="0" xfId="63" applyFont="1" applyAlignment="1">
      <alignment vertical="center" wrapText="1"/>
    </xf>
    <xf numFmtId="43" fontId="9" fillId="0" borderId="4" xfId="14" applyNumberFormat="1" applyFont="1" applyFill="1" applyBorder="1">
      <alignment vertical="center"/>
    </xf>
    <xf numFmtId="0" fontId="9" fillId="0" borderId="0" xfId="14" applyFont="1" applyFill="1">
      <alignment vertical="center"/>
    </xf>
    <xf numFmtId="166" fontId="8" fillId="0" borderId="4" xfId="26" applyFont="1" applyFill="1" applyBorder="1" applyAlignment="1">
      <alignment vertical="center"/>
    </xf>
    <xf numFmtId="0" fontId="8" fillId="0" borderId="4" xfId="10" applyFont="1" applyFill="1" applyBorder="1" applyAlignment="1">
      <alignment horizontal="right"/>
    </xf>
    <xf numFmtId="0" fontId="8" fillId="0" borderId="4" xfId="10" applyFont="1" applyFill="1" applyBorder="1" applyAlignment="1">
      <alignment wrapText="1"/>
    </xf>
    <xf numFmtId="17" fontId="8" fillId="0" borderId="4" xfId="10" applyNumberFormat="1" applyFont="1" applyFill="1" applyBorder="1"/>
    <xf numFmtId="0" fontId="46" fillId="0" borderId="4" xfId="558" applyFont="1" applyFill="1" applyBorder="1" applyAlignment="1">
      <alignment vertical="center" wrapText="1"/>
    </xf>
    <xf numFmtId="2" fontId="9" fillId="0" borderId="4" xfId="10" applyNumberFormat="1" applyFont="1" applyFill="1" applyBorder="1"/>
    <xf numFmtId="0" fontId="8" fillId="0" borderId="4" xfId="10" applyFont="1" applyFill="1" applyBorder="1" applyAlignment="1">
      <alignment horizontal="left" wrapText="1"/>
    </xf>
    <xf numFmtId="167" fontId="8" fillId="0" borderId="4" xfId="10" applyNumberFormat="1" applyFont="1" applyFill="1" applyBorder="1"/>
    <xf numFmtId="10" fontId="8" fillId="0" borderId="4" xfId="10" applyNumberFormat="1" applyFont="1" applyFill="1" applyBorder="1"/>
    <xf numFmtId="166" fontId="8" fillId="0" borderId="4" xfId="134" applyFont="1" applyFill="1" applyBorder="1" applyAlignment="1">
      <alignment horizontal="left"/>
    </xf>
    <xf numFmtId="2" fontId="8" fillId="0" borderId="0" xfId="10" applyNumberFormat="1" applyFont="1" applyFill="1"/>
    <xf numFmtId="46" fontId="8" fillId="0" borderId="4" xfId="10" quotePrefix="1" applyNumberFormat="1" applyFont="1" applyFill="1" applyBorder="1" applyAlignment="1">
      <alignment horizontal="center"/>
    </xf>
    <xf numFmtId="9" fontId="8" fillId="0" borderId="4" xfId="10" applyNumberFormat="1" applyFont="1" applyFill="1" applyBorder="1"/>
    <xf numFmtId="16" fontId="8" fillId="0" borderId="4" xfId="10" applyNumberFormat="1" applyFont="1" applyFill="1" applyBorder="1" applyAlignment="1">
      <alignment horizontal="right"/>
    </xf>
    <xf numFmtId="16" fontId="8" fillId="0" borderId="4" xfId="10" quotePrefix="1" applyNumberFormat="1" applyFont="1" applyFill="1" applyBorder="1" applyAlignment="1">
      <alignment horizontal="right"/>
    </xf>
    <xf numFmtId="17" fontId="8" fillId="0" borderId="4" xfId="10" applyNumberFormat="1" applyFont="1" applyFill="1" applyBorder="1" applyAlignment="1">
      <alignment wrapText="1"/>
    </xf>
    <xf numFmtId="166" fontId="9" fillId="0" borderId="4" xfId="134" applyFont="1" applyFill="1" applyBorder="1" applyAlignment="1">
      <alignment horizontal="left" wrapText="1"/>
    </xf>
    <xf numFmtId="166" fontId="34" fillId="0" borderId="4" xfId="10" applyNumberFormat="1" applyFont="1" applyFill="1" applyBorder="1" applyAlignment="1">
      <alignment wrapText="1"/>
    </xf>
    <xf numFmtId="0" fontId="8" fillId="0" borderId="0" xfId="10" applyFont="1" applyFill="1" applyAlignment="1">
      <alignment wrapText="1"/>
    </xf>
    <xf numFmtId="0" fontId="9" fillId="0" borderId="4" xfId="10" applyFont="1" applyFill="1" applyBorder="1" applyAlignment="1">
      <alignment vertical="center"/>
    </xf>
    <xf numFmtId="9" fontId="8" fillId="0" borderId="4" xfId="65" applyFont="1" applyBorder="1" applyAlignment="1">
      <alignment horizontal="center" vertical="center"/>
    </xf>
    <xf numFmtId="17" fontId="8" fillId="0" borderId="4" xfId="14" applyNumberFormat="1" applyFont="1" applyBorder="1" applyAlignment="1">
      <alignment horizontal="center" vertical="center"/>
    </xf>
    <xf numFmtId="2" fontId="8" fillId="0" borderId="4" xfId="14" applyNumberFormat="1" applyFont="1" applyBorder="1" applyAlignment="1">
      <alignment horizontal="center" vertical="center"/>
    </xf>
    <xf numFmtId="14" fontId="8" fillId="0" borderId="4" xfId="14" applyNumberFormat="1" applyFont="1" applyBorder="1" applyAlignment="1">
      <alignment horizontal="center" vertical="center"/>
    </xf>
    <xf numFmtId="9" fontId="8" fillId="0" borderId="4" xfId="14" applyNumberFormat="1" applyFont="1" applyBorder="1" applyAlignment="1">
      <alignment horizontal="center" vertical="center"/>
    </xf>
    <xf numFmtId="2" fontId="8" fillId="0" borderId="4" xfId="26" applyNumberFormat="1" applyFont="1" applyFill="1" applyBorder="1" applyAlignment="1">
      <alignment horizontal="center" vertical="center"/>
    </xf>
    <xf numFmtId="14" fontId="8" fillId="0" borderId="4" xfId="26" applyNumberFormat="1" applyFont="1" applyFill="1" applyBorder="1" applyAlignment="1">
      <alignment horizontal="center" vertical="center"/>
    </xf>
    <xf numFmtId="14" fontId="8" fillId="0" borderId="4" xfId="14" applyNumberFormat="1" applyFont="1" applyFill="1" applyBorder="1" applyAlignment="1">
      <alignment horizontal="center" vertical="center"/>
    </xf>
    <xf numFmtId="17" fontId="8" fillId="0" borderId="4" xfId="14" applyNumberFormat="1" applyFont="1" applyFill="1" applyBorder="1" applyAlignment="1">
      <alignment horizontal="center" vertical="center"/>
    </xf>
    <xf numFmtId="2" fontId="8" fillId="0" borderId="4" xfId="14" applyNumberFormat="1" applyFont="1" applyFill="1" applyBorder="1" applyAlignment="1">
      <alignment horizontal="center" vertical="center"/>
    </xf>
    <xf numFmtId="0" fontId="8" fillId="7" borderId="0" xfId="14" applyFont="1" applyFill="1">
      <alignment vertical="center"/>
    </xf>
    <xf numFmtId="9" fontId="8" fillId="7" borderId="4" xfId="14" applyNumberFormat="1" applyFont="1" applyFill="1" applyBorder="1" applyAlignment="1">
      <alignment horizontal="center" vertical="center"/>
    </xf>
    <xf numFmtId="14" fontId="8" fillId="7" borderId="4" xfId="14" applyNumberFormat="1" applyFont="1" applyFill="1" applyBorder="1" applyAlignment="1">
      <alignment horizontal="center" vertical="center"/>
    </xf>
    <xf numFmtId="0" fontId="8" fillId="7" borderId="0" xfId="14" applyFont="1" applyFill="1" applyAlignment="1">
      <alignment horizontal="center" vertical="center"/>
    </xf>
    <xf numFmtId="10" fontId="8" fillId="0" borderId="4" xfId="34" applyNumberFormat="1" applyFont="1" applyBorder="1">
      <alignment vertical="center"/>
    </xf>
    <xf numFmtId="10" fontId="8" fillId="0" borderId="4" xfId="65" applyNumberFormat="1" applyFont="1" applyFill="1" applyBorder="1" applyAlignment="1">
      <alignment horizontal="center" vertical="center"/>
    </xf>
    <xf numFmtId="0" fontId="9" fillId="0" borderId="4" xfId="14" applyFont="1" applyBorder="1" applyAlignment="1">
      <alignment horizontal="right" vertical="center"/>
    </xf>
    <xf numFmtId="9" fontId="8" fillId="0" borderId="4" xfId="14" applyNumberFormat="1" applyFont="1" applyBorder="1" applyAlignment="1">
      <alignment horizontal="right" vertical="center"/>
    </xf>
    <xf numFmtId="10" fontId="8" fillId="0" borderId="4" xfId="14" applyNumberFormat="1" applyFont="1" applyBorder="1" applyAlignment="1">
      <alignment horizontal="right" vertical="center"/>
    </xf>
    <xf numFmtId="199" fontId="8" fillId="0" borderId="4" xfId="14" applyNumberFormat="1" applyFont="1" applyBorder="1" applyAlignment="1">
      <alignment horizontal="right" vertical="center"/>
    </xf>
    <xf numFmtId="2" fontId="33" fillId="0" borderId="4" xfId="19" applyNumberFormat="1" applyFont="1" applyFill="1" applyBorder="1" applyAlignment="1">
      <alignment horizontal="center" vertical="center"/>
    </xf>
    <xf numFmtId="166" fontId="33" fillId="0" borderId="4" xfId="19" applyNumberFormat="1" applyFont="1" applyFill="1" applyBorder="1" applyAlignment="1">
      <alignment horizontal="center" vertical="center"/>
    </xf>
    <xf numFmtId="2" fontId="34" fillId="0" borderId="4" xfId="19" applyNumberFormat="1" applyFont="1" applyFill="1" applyBorder="1" applyAlignment="1">
      <alignment horizontal="center" vertical="center"/>
    </xf>
    <xf numFmtId="166" fontId="34" fillId="0" borderId="4" xfId="64" applyFont="1" applyFill="1" applyBorder="1" applyAlignment="1">
      <alignment horizontal="center" vertical="center"/>
    </xf>
    <xf numFmtId="166" fontId="8" fillId="0" borderId="4" xfId="20" applyFont="1" applyFill="1" applyBorder="1" applyAlignment="1">
      <alignment vertical="center"/>
    </xf>
    <xf numFmtId="0" fontId="8" fillId="0" borderId="0" xfId="10" applyFont="1" applyAlignment="1">
      <alignment horizontal="center" vertical="center" wrapText="1"/>
    </xf>
    <xf numFmtId="166" fontId="9" fillId="0" borderId="4" xfId="20" applyFont="1" applyBorder="1" applyAlignment="1">
      <alignment vertical="center"/>
    </xf>
    <xf numFmtId="166" fontId="9" fillId="0" borderId="4" xfId="20" applyFont="1" applyFill="1" applyBorder="1" applyAlignment="1">
      <alignment vertical="center"/>
    </xf>
    <xf numFmtId="166" fontId="8" fillId="0" borderId="0" xfId="10" applyNumberFormat="1" applyFont="1" applyAlignment="1">
      <alignment horizontal="center" vertical="center" wrapText="1"/>
    </xf>
    <xf numFmtId="166" fontId="8" fillId="0" borderId="4" xfId="26" applyFont="1" applyFill="1" applyBorder="1" applyAlignment="1">
      <alignment horizontal="center" vertical="center"/>
    </xf>
    <xf numFmtId="166" fontId="8" fillId="0" borderId="4" xfId="26" applyNumberFormat="1" applyFont="1" applyFill="1" applyBorder="1" applyAlignment="1">
      <alignment horizontal="center" vertical="center"/>
    </xf>
    <xf numFmtId="10" fontId="8" fillId="0" borderId="4" xfId="48" applyNumberFormat="1" applyFont="1" applyFill="1" applyBorder="1" applyAlignment="1">
      <alignment horizontal="center" vertical="center"/>
    </xf>
    <xf numFmtId="166" fontId="8" fillId="0" borderId="4" xfId="26" applyNumberFormat="1" applyFont="1" applyFill="1" applyBorder="1" applyAlignment="1">
      <alignment vertical="center"/>
    </xf>
    <xf numFmtId="166" fontId="9" fillId="0" borderId="4" xfId="14" applyNumberFormat="1" applyFont="1" applyFill="1" applyBorder="1" applyAlignment="1">
      <alignment horizontal="center" vertical="center"/>
    </xf>
    <xf numFmtId="166" fontId="9" fillId="0" borderId="4" xfId="26" applyFont="1" applyFill="1" applyBorder="1" applyAlignment="1">
      <alignment horizontal="center" vertical="center"/>
    </xf>
    <xf numFmtId="166" fontId="9" fillId="0" borderId="4" xfId="64" applyFont="1" applyFill="1" applyBorder="1" applyAlignment="1">
      <alignment horizontal="center" vertical="center"/>
    </xf>
    <xf numFmtId="10" fontId="9" fillId="0" borderId="4" xfId="65" applyNumberFormat="1" applyFont="1" applyFill="1" applyBorder="1" applyAlignment="1">
      <alignment horizontal="center" vertical="center"/>
    </xf>
    <xf numFmtId="43" fontId="9" fillId="0" borderId="0" xfId="14" applyNumberFormat="1" applyFont="1" applyFill="1" applyBorder="1" applyAlignment="1">
      <alignment vertical="center" wrapText="1"/>
    </xf>
    <xf numFmtId="166" fontId="8" fillId="0" borderId="4" xfId="64" applyFont="1" applyFill="1" applyBorder="1" applyAlignment="1">
      <alignment horizontal="left" vertical="center"/>
    </xf>
    <xf numFmtId="43" fontId="8" fillId="0" borderId="4" xfId="14" applyNumberFormat="1" applyFont="1" applyFill="1" applyBorder="1">
      <alignment vertical="center"/>
    </xf>
    <xf numFmtId="166" fontId="9" fillId="0" borderId="4" xfId="14" applyNumberFormat="1" applyFont="1" applyFill="1" applyBorder="1" applyAlignment="1">
      <alignment horizontal="left" vertical="center"/>
    </xf>
    <xf numFmtId="166" fontId="9" fillId="0" borderId="4" xfId="64" applyFont="1" applyFill="1" applyBorder="1" applyAlignment="1">
      <alignment horizontal="left" vertical="center"/>
    </xf>
    <xf numFmtId="10" fontId="9" fillId="0" borderId="4" xfId="65" applyNumberFormat="1" applyFont="1" applyFill="1" applyBorder="1" applyAlignment="1">
      <alignment vertical="center"/>
    </xf>
    <xf numFmtId="0" fontId="33" fillId="0" borderId="4" xfId="0" applyNumberFormat="1" applyFont="1" applyFill="1" applyBorder="1"/>
    <xf numFmtId="166" fontId="33" fillId="0" borderId="4" xfId="64" applyFont="1" applyFill="1" applyBorder="1"/>
    <xf numFmtId="10" fontId="34" fillId="0" borderId="4" xfId="65" applyNumberFormat="1" applyFont="1" applyFill="1" applyBorder="1"/>
    <xf numFmtId="166" fontId="8" fillId="0" borderId="4" xfId="64" applyFont="1" applyFill="1" applyBorder="1" applyAlignment="1">
      <alignment horizontal="right" vertical="top" wrapText="1"/>
    </xf>
    <xf numFmtId="166" fontId="30" fillId="0" borderId="4" xfId="10" applyNumberFormat="1" applyFont="1" applyFill="1" applyBorder="1"/>
    <xf numFmtId="0" fontId="30" fillId="0" borderId="4" xfId="10" applyFont="1" applyFill="1" applyBorder="1"/>
    <xf numFmtId="166" fontId="30" fillId="0" borderId="4" xfId="64" applyFont="1" applyFill="1" applyBorder="1"/>
    <xf numFmtId="0" fontId="103" fillId="0" borderId="4" xfId="10" applyFont="1" applyFill="1" applyBorder="1" applyAlignment="1">
      <alignment horizontal="left"/>
    </xf>
    <xf numFmtId="10" fontId="8" fillId="0" borderId="4" xfId="10" applyNumberFormat="1" applyFont="1" applyFill="1" applyBorder="1" applyAlignment="1">
      <alignment vertical="center"/>
    </xf>
    <xf numFmtId="2" fontId="8" fillId="0" borderId="4" xfId="10" applyNumberFormat="1" applyFont="1" applyFill="1" applyBorder="1" applyAlignment="1">
      <alignment vertical="center"/>
    </xf>
    <xf numFmtId="166" fontId="28" fillId="0" borderId="4" xfId="64" applyFont="1" applyFill="1" applyBorder="1" applyAlignment="1">
      <alignment horizontal="left"/>
    </xf>
    <xf numFmtId="0" fontId="8" fillId="0" borderId="4" xfId="10" applyFont="1" applyFill="1" applyBorder="1" applyAlignment="1">
      <alignment vertical="center" wrapText="1"/>
    </xf>
    <xf numFmtId="0" fontId="8" fillId="0" borderId="0" xfId="10" applyFont="1" applyFill="1" applyAlignment="1">
      <alignment vertical="center"/>
    </xf>
    <xf numFmtId="166" fontId="8" fillId="0" borderId="4" xfId="64" quotePrefix="1" applyFont="1" applyFill="1" applyBorder="1" applyAlignment="1">
      <alignment horizontal="left" vertical="top" wrapText="1"/>
    </xf>
    <xf numFmtId="166" fontId="8" fillId="0" borderId="4" xfId="64" applyFont="1" applyFill="1" applyBorder="1" applyAlignment="1"/>
    <xf numFmtId="166" fontId="8" fillId="0" borderId="4" xfId="64" quotePrefix="1" applyFont="1" applyFill="1" applyBorder="1" applyAlignment="1">
      <alignment horizontal="center" vertical="top" wrapText="1"/>
    </xf>
    <xf numFmtId="166" fontId="9" fillId="0" borderId="4" xfId="64" quotePrefix="1" applyFont="1" applyFill="1" applyBorder="1" applyAlignment="1">
      <alignment horizontal="left" vertical="top" wrapText="1"/>
    </xf>
    <xf numFmtId="166" fontId="9" fillId="0" borderId="4" xfId="64" quotePrefix="1" applyFont="1" applyFill="1" applyBorder="1" applyAlignment="1">
      <alignment horizontal="center" vertical="top" wrapText="1"/>
    </xf>
    <xf numFmtId="166" fontId="8" fillId="0" borderId="4" xfId="64" applyFont="1" applyFill="1" applyBorder="1" applyAlignment="1" applyProtection="1">
      <alignment horizontal="left"/>
    </xf>
    <xf numFmtId="43" fontId="8" fillId="0" borderId="4" xfId="10" applyNumberFormat="1" applyFont="1" applyFill="1" applyBorder="1" applyAlignment="1" applyProtection="1">
      <alignment horizontal="left"/>
    </xf>
    <xf numFmtId="0" fontId="34" fillId="0" borderId="4" xfId="13" applyFont="1" applyFill="1" applyBorder="1"/>
    <xf numFmtId="43" fontId="34" fillId="0" borderId="4" xfId="13" applyNumberFormat="1" applyFont="1" applyFill="1" applyBorder="1"/>
    <xf numFmtId="166" fontId="9" fillId="0" borderId="5" xfId="64" applyFont="1" applyFill="1" applyBorder="1" applyAlignment="1">
      <alignment vertical="center"/>
    </xf>
    <xf numFmtId="10" fontId="8" fillId="0" borderId="5" xfId="14" applyNumberFormat="1" applyFont="1" applyFill="1" applyBorder="1">
      <alignment vertical="center"/>
    </xf>
    <xf numFmtId="166" fontId="8" fillId="0" borderId="5" xfId="64" applyFont="1" applyFill="1" applyBorder="1" applyAlignment="1">
      <alignment vertical="center"/>
    </xf>
    <xf numFmtId="170" fontId="8" fillId="0" borderId="4" xfId="14" applyNumberFormat="1" applyFont="1" applyFill="1" applyBorder="1">
      <alignment vertical="center"/>
    </xf>
    <xf numFmtId="196" fontId="9" fillId="0" borderId="4" xfId="14" applyNumberFormat="1" applyFont="1" applyFill="1" applyBorder="1">
      <alignment vertical="center"/>
    </xf>
    <xf numFmtId="0" fontId="8" fillId="0" borderId="4" xfId="0" applyFont="1" applyFill="1" applyBorder="1" applyAlignment="1" applyProtection="1">
      <alignment horizontal="right"/>
    </xf>
    <xf numFmtId="0" fontId="8" fillId="0" borderId="4" xfId="15" applyFont="1" applyFill="1" applyBorder="1" applyAlignment="1">
      <alignment vertical="center"/>
    </xf>
    <xf numFmtId="43" fontId="8" fillId="0" borderId="4" xfId="0" applyNumberFormat="1" applyFont="1" applyFill="1" applyBorder="1" applyAlignment="1" applyProtection="1">
      <alignment horizontal="left"/>
    </xf>
    <xf numFmtId="0" fontId="8" fillId="0" borderId="4" xfId="0" applyFont="1" applyFill="1" applyBorder="1" applyAlignment="1" applyProtection="1">
      <alignment horizontal="left"/>
    </xf>
    <xf numFmtId="0" fontId="29" fillId="0" borderId="4" xfId="0" applyFont="1" applyFill="1" applyBorder="1" applyAlignment="1">
      <alignment horizontal="center" wrapText="1"/>
    </xf>
    <xf numFmtId="43" fontId="29" fillId="0" borderId="4" xfId="0" applyNumberFormat="1" applyFont="1" applyFill="1" applyBorder="1" applyAlignment="1">
      <alignment horizontal="center" wrapText="1"/>
    </xf>
    <xf numFmtId="0" fontId="8" fillId="0" borderId="4" xfId="0" applyFont="1" applyFill="1" applyBorder="1" applyAlignment="1">
      <alignment vertical="top"/>
    </xf>
    <xf numFmtId="43" fontId="8" fillId="0" borderId="4" xfId="0" applyNumberFormat="1" applyFont="1" applyFill="1" applyBorder="1" applyAlignment="1">
      <alignment vertical="top"/>
    </xf>
    <xf numFmtId="43" fontId="8" fillId="0" borderId="4" xfId="0" applyNumberFormat="1" applyFont="1" applyFill="1" applyBorder="1" applyAlignment="1" applyProtection="1">
      <alignment horizontal="right"/>
    </xf>
    <xf numFmtId="166" fontId="8" fillId="0" borderId="4" xfId="64" applyFont="1" applyFill="1" applyBorder="1" applyAlignment="1" applyProtection="1">
      <alignment horizontal="right"/>
    </xf>
    <xf numFmtId="0" fontId="0" fillId="0" borderId="4" xfId="0" applyFill="1" applyBorder="1" applyAlignment="1">
      <alignment horizontal="right" wrapText="1"/>
    </xf>
    <xf numFmtId="43" fontId="0" fillId="0" borderId="4" xfId="0" applyNumberFormat="1" applyFill="1" applyBorder="1" applyAlignment="1">
      <alignment horizontal="right" wrapText="1"/>
    </xf>
    <xf numFmtId="0" fontId="8" fillId="0" borderId="4" xfId="0" applyFont="1" applyFill="1" applyBorder="1" applyAlignment="1">
      <alignment horizontal="right" vertical="top"/>
    </xf>
    <xf numFmtId="43" fontId="8" fillId="0" borderId="4" xfId="0" applyNumberFormat="1" applyFont="1" applyFill="1" applyBorder="1" applyAlignment="1">
      <alignment horizontal="right" vertical="top"/>
    </xf>
    <xf numFmtId="0" fontId="8" fillId="0" borderId="4" xfId="14" applyFont="1" applyFill="1" applyBorder="1" applyAlignment="1">
      <alignment horizontal="right" vertical="center"/>
    </xf>
    <xf numFmtId="43" fontId="8" fillId="0" borderId="4" xfId="14" applyNumberFormat="1" applyFont="1" applyFill="1" applyBorder="1" applyAlignment="1">
      <alignment horizontal="right" vertical="center"/>
    </xf>
    <xf numFmtId="1" fontId="9" fillId="0" borderId="4" xfId="14" applyNumberFormat="1" applyFont="1" applyFill="1" applyBorder="1">
      <alignment vertical="center"/>
    </xf>
    <xf numFmtId="9" fontId="9" fillId="0" borderId="4" xfId="65" applyNumberFormat="1" applyFont="1" applyFill="1" applyBorder="1" applyAlignment="1">
      <alignment vertical="center"/>
    </xf>
    <xf numFmtId="1" fontId="8" fillId="0" borderId="4" xfId="14" applyNumberFormat="1" applyFont="1" applyFill="1" applyBorder="1">
      <alignment vertical="center"/>
    </xf>
    <xf numFmtId="179" fontId="9" fillId="0" borderId="4" xfId="14" applyNumberFormat="1" applyFont="1" applyFill="1" applyBorder="1">
      <alignment vertical="center"/>
    </xf>
    <xf numFmtId="197" fontId="9" fillId="0" borderId="4" xfId="14" applyNumberFormat="1" applyFont="1" applyFill="1" applyBorder="1">
      <alignment vertical="center"/>
    </xf>
    <xf numFmtId="0" fontId="42" fillId="7" borderId="0" xfId="0" applyFont="1" applyFill="1"/>
    <xf numFmtId="43" fontId="9" fillId="0" borderId="0" xfId="14" applyNumberFormat="1" applyFont="1" applyFill="1" applyBorder="1" applyAlignment="1">
      <alignment horizontal="center" vertical="center" wrapText="1"/>
    </xf>
    <xf numFmtId="166" fontId="0" fillId="0" borderId="0" xfId="64" applyFont="1"/>
    <xf numFmtId="0" fontId="8" fillId="7" borderId="4" xfId="10" applyFont="1" applyFill="1" applyBorder="1" applyAlignment="1">
      <alignment horizontal="center" vertical="center"/>
    </xf>
    <xf numFmtId="0" fontId="8" fillId="0" borderId="4" xfId="10" applyFont="1" applyFill="1" applyBorder="1" applyAlignment="1">
      <alignment horizontal="center" vertical="center"/>
    </xf>
    <xf numFmtId="0" fontId="118" fillId="0" borderId="4" xfId="558" applyFont="1" applyFill="1" applyBorder="1" applyAlignment="1">
      <alignment vertical="center" wrapText="1"/>
    </xf>
    <xf numFmtId="0" fontId="9" fillId="14" borderId="4" xfId="10" applyFont="1" applyFill="1" applyBorder="1"/>
    <xf numFmtId="0" fontId="8" fillId="14" borderId="4" xfId="10" applyFont="1" applyFill="1" applyBorder="1"/>
    <xf numFmtId="17" fontId="8" fillId="14" borderId="4" xfId="10" applyNumberFormat="1" applyFont="1" applyFill="1" applyBorder="1"/>
    <xf numFmtId="0" fontId="8" fillId="14" borderId="6" xfId="10" applyFont="1" applyFill="1" applyBorder="1" applyAlignment="1">
      <alignment horizontal="center" vertical="center"/>
    </xf>
    <xf numFmtId="2" fontId="9" fillId="14" borderId="6" xfId="10" applyNumberFormat="1" applyFont="1" applyFill="1" applyBorder="1" applyAlignment="1">
      <alignment horizontal="right" vertical="center"/>
    </xf>
    <xf numFmtId="166" fontId="9" fillId="14" borderId="4" xfId="134" applyFont="1" applyFill="1" applyBorder="1"/>
    <xf numFmtId="0" fontId="15" fillId="14" borderId="4" xfId="10" applyFont="1" applyFill="1" applyBorder="1"/>
    <xf numFmtId="0" fontId="9" fillId="0" borderId="0" xfId="10" applyFont="1" applyBorder="1" applyAlignment="1">
      <alignment horizontal="center" vertical="center" wrapText="1"/>
    </xf>
    <xf numFmtId="166" fontId="9" fillId="0" borderId="4" xfId="10" applyNumberFormat="1" applyFont="1" applyBorder="1" applyAlignment="1">
      <alignment vertical="center" wrapText="1"/>
    </xf>
    <xf numFmtId="166" fontId="8" fillId="0" borderId="4" xfId="10" applyNumberFormat="1" applyFont="1" applyBorder="1" applyAlignment="1">
      <alignment vertical="center" wrapText="1"/>
    </xf>
    <xf numFmtId="166" fontId="9" fillId="0" borderId="4" xfId="10" applyNumberFormat="1" applyFont="1" applyBorder="1" applyAlignment="1">
      <alignment vertical="center"/>
    </xf>
    <xf numFmtId="166" fontId="11" fillId="0" borderId="4" xfId="10" applyNumberFormat="1" applyFont="1" applyFill="1" applyBorder="1" applyAlignment="1">
      <alignment vertical="center"/>
    </xf>
    <xf numFmtId="0" fontId="9" fillId="4" borderId="4" xfId="63" applyFont="1" applyFill="1" applyBorder="1" applyAlignment="1">
      <alignment horizontal="center" vertical="center" wrapText="1"/>
    </xf>
    <xf numFmtId="0" fontId="9" fillId="4" borderId="7" xfId="10" applyFont="1" applyFill="1" applyBorder="1" applyAlignment="1">
      <alignment horizontal="center" vertical="center" wrapText="1"/>
    </xf>
    <xf numFmtId="0" fontId="9" fillId="4" borderId="4" xfId="10" applyFont="1" applyFill="1" applyBorder="1" applyAlignment="1">
      <alignment horizontal="center" vertical="center" wrapText="1"/>
    </xf>
    <xf numFmtId="166" fontId="8" fillId="0" borderId="4" xfId="64" applyFont="1" applyFill="1" applyBorder="1" applyAlignment="1">
      <alignment horizontal="center" vertical="center"/>
    </xf>
    <xf numFmtId="0" fontId="8" fillId="0" borderId="4" xfId="14" applyFont="1" applyBorder="1" applyAlignment="1">
      <alignment vertical="center"/>
    </xf>
    <xf numFmtId="2" fontId="9" fillId="0" borderId="0" xfId="10" applyNumberFormat="1" applyFont="1" applyBorder="1" applyAlignment="1"/>
    <xf numFmtId="17" fontId="0" fillId="0" borderId="4" xfId="0" applyNumberFormat="1" applyBorder="1" applyAlignment="1">
      <alignment horizontal="left"/>
    </xf>
    <xf numFmtId="0" fontId="38" fillId="0" borderId="4" xfId="0" applyFont="1" applyBorder="1" applyAlignment="1">
      <alignment horizontal="left"/>
    </xf>
    <xf numFmtId="166" fontId="19" fillId="0" borderId="4" xfId="64" applyFont="1" applyBorder="1"/>
    <xf numFmtId="0" fontId="38" fillId="0" borderId="4" xfId="0" applyFont="1" applyBorder="1" applyAlignment="1">
      <alignment vertical="center"/>
    </xf>
    <xf numFmtId="0" fontId="38" fillId="0" borderId="4" xfId="0" applyFont="1" applyBorder="1" applyAlignment="1">
      <alignment vertical="center" wrapText="1"/>
    </xf>
    <xf numFmtId="0" fontId="0" fillId="0" borderId="0" xfId="0" applyAlignment="1">
      <alignment vertical="center"/>
    </xf>
    <xf numFmtId="0" fontId="19" fillId="0" borderId="4" xfId="0" applyFont="1" applyBorder="1"/>
    <xf numFmtId="166" fontId="8" fillId="0" borderId="4" xfId="64" applyFont="1" applyBorder="1" applyAlignment="1">
      <alignment vertical="top" wrapText="1"/>
    </xf>
    <xf numFmtId="166" fontId="9" fillId="0" borderId="4" xfId="64" applyFont="1" applyBorder="1" applyAlignment="1"/>
    <xf numFmtId="10" fontId="8" fillId="7" borderId="4" xfId="65" applyNumberFormat="1" applyFont="1" applyFill="1" applyBorder="1" applyAlignment="1">
      <alignment horizontal="right" vertical="center" wrapText="1"/>
    </xf>
    <xf numFmtId="166" fontId="8" fillId="5" borderId="0" xfId="64" applyFont="1" applyFill="1" applyBorder="1" applyAlignment="1">
      <alignment vertical="center"/>
    </xf>
    <xf numFmtId="0" fontId="48" fillId="0" borderId="4" xfId="0" applyFont="1" applyBorder="1" applyAlignment="1">
      <alignment horizontal="right"/>
    </xf>
    <xf numFmtId="2" fontId="50" fillId="0" borderId="4" xfId="0" applyNumberFormat="1" applyFont="1" applyBorder="1" applyAlignment="1">
      <alignment horizontal="right" vertical="center"/>
    </xf>
    <xf numFmtId="2" fontId="50" fillId="0" borderId="4" xfId="0" applyNumberFormat="1" applyFont="1" applyFill="1" applyBorder="1" applyAlignment="1">
      <alignment horizontal="right" vertical="center"/>
    </xf>
    <xf numFmtId="0" fontId="50" fillId="0" borderId="4" xfId="0" applyFont="1" applyFill="1" applyBorder="1" applyAlignment="1">
      <alignment horizontal="right" vertical="center"/>
    </xf>
    <xf numFmtId="1" fontId="48" fillId="0" borderId="4" xfId="0" applyNumberFormat="1" applyFont="1" applyBorder="1" applyAlignment="1">
      <alignment horizontal="right"/>
    </xf>
    <xf numFmtId="1" fontId="50" fillId="0" borderId="4" xfId="0" applyNumberFormat="1" applyFont="1" applyFill="1" applyBorder="1" applyAlignment="1">
      <alignment horizontal="right" vertical="center"/>
    </xf>
    <xf numFmtId="10" fontId="48" fillId="0" borderId="4" xfId="0" applyNumberFormat="1" applyFont="1" applyBorder="1"/>
    <xf numFmtId="17" fontId="49" fillId="0" borderId="4" xfId="0" applyNumberFormat="1" applyFont="1" applyBorder="1"/>
    <xf numFmtId="179" fontId="50" fillId="0" borderId="4" xfId="64" applyNumberFormat="1" applyFont="1" applyFill="1" applyBorder="1" applyAlignment="1">
      <alignment horizontal="center" vertical="center"/>
    </xf>
    <xf numFmtId="179" fontId="50" fillId="0" borderId="4" xfId="64" applyNumberFormat="1" applyFont="1" applyFill="1" applyBorder="1" applyAlignment="1">
      <alignment horizontal="right" vertical="center"/>
    </xf>
    <xf numFmtId="179" fontId="48" fillId="0" borderId="4" xfId="64" applyNumberFormat="1" applyFont="1" applyBorder="1" applyAlignment="1">
      <alignment horizontal="right"/>
    </xf>
    <xf numFmtId="179" fontId="48" fillId="0" borderId="4" xfId="64" applyNumberFormat="1" applyFont="1" applyBorder="1"/>
    <xf numFmtId="166" fontId="8" fillId="15" borderId="4" xfId="26" applyFont="1" applyFill="1" applyBorder="1" applyAlignment="1">
      <alignment vertical="center"/>
    </xf>
    <xf numFmtId="179" fontId="50" fillId="0" borderId="0" xfId="64" applyNumberFormat="1" applyFont="1" applyFill="1" applyBorder="1" applyAlignment="1">
      <alignment horizontal="center" vertical="center"/>
    </xf>
    <xf numFmtId="179" fontId="48" fillId="0" borderId="0" xfId="64" applyNumberFormat="1" applyFont="1" applyBorder="1"/>
    <xf numFmtId="179" fontId="48" fillId="0" borderId="0" xfId="64" applyNumberFormat="1" applyFont="1"/>
    <xf numFmtId="179" fontId="49" fillId="0" borderId="0" xfId="64" applyNumberFormat="1" applyFont="1"/>
    <xf numFmtId="0" fontId="49" fillId="0" borderId="0" xfId="0" applyFont="1" applyAlignment="1">
      <alignment horizontal="right"/>
    </xf>
    <xf numFmtId="166" fontId="40" fillId="0" borderId="4" xfId="26" applyFont="1" applyBorder="1" applyAlignment="1">
      <alignment horizontal="right" vertical="center"/>
    </xf>
    <xf numFmtId="10" fontId="8" fillId="7" borderId="4" xfId="10" applyNumberFormat="1" applyFont="1" applyFill="1" applyBorder="1" applyAlignment="1">
      <alignment vertical="center"/>
    </xf>
    <xf numFmtId="43" fontId="8" fillId="7" borderId="4" xfId="10" applyNumberFormat="1" applyFont="1" applyFill="1" applyBorder="1" applyAlignment="1">
      <alignment vertical="center"/>
    </xf>
    <xf numFmtId="0" fontId="8" fillId="7" borderId="4" xfId="10" applyFont="1" applyFill="1" applyBorder="1" applyAlignment="1">
      <alignment horizontal="right" vertical="center"/>
    </xf>
    <xf numFmtId="0" fontId="30" fillId="7" borderId="4" xfId="10" applyFont="1" applyFill="1" applyBorder="1" applyAlignment="1">
      <alignment vertical="center"/>
    </xf>
    <xf numFmtId="10" fontId="8" fillId="7" borderId="4" xfId="10" applyNumberFormat="1" applyFont="1" applyFill="1" applyBorder="1" applyAlignment="1">
      <alignment horizontal="right" vertical="center"/>
    </xf>
    <xf numFmtId="166" fontId="8" fillId="7" borderId="4" xfId="64" applyFont="1" applyFill="1" applyBorder="1" applyAlignment="1">
      <alignment horizontal="right" vertical="center"/>
    </xf>
    <xf numFmtId="0" fontId="8" fillId="0" borderId="4" xfId="0" applyFont="1" applyBorder="1" applyAlignment="1">
      <alignment horizontal="right" vertical="center"/>
    </xf>
    <xf numFmtId="43" fontId="8" fillId="7" borderId="4" xfId="10" applyNumberFormat="1" applyFont="1" applyFill="1" applyBorder="1" applyAlignment="1">
      <alignment horizontal="right" vertical="center"/>
    </xf>
    <xf numFmtId="0" fontId="30" fillId="7" borderId="4" xfId="10" applyFont="1" applyFill="1" applyBorder="1" applyAlignment="1">
      <alignment horizontal="right" vertical="center"/>
    </xf>
    <xf numFmtId="166" fontId="9" fillId="7" borderId="4" xfId="64" applyFont="1" applyFill="1" applyBorder="1" applyAlignment="1">
      <alignment horizontal="right" vertical="center"/>
    </xf>
    <xf numFmtId="166" fontId="11" fillId="7" borderId="4" xfId="10" applyNumberFormat="1" applyFont="1" applyFill="1" applyBorder="1" applyAlignment="1">
      <alignment horizontal="right" vertical="center"/>
    </xf>
    <xf numFmtId="43" fontId="9" fillId="7" borderId="4" xfId="10" applyNumberFormat="1" applyFont="1" applyFill="1" applyBorder="1" applyAlignment="1">
      <alignment horizontal="right" vertical="center"/>
    </xf>
    <xf numFmtId="0" fontId="9" fillId="7" borderId="4" xfId="10" applyFont="1" applyFill="1" applyBorder="1" applyAlignment="1">
      <alignment horizontal="center" vertical="center"/>
    </xf>
    <xf numFmtId="179" fontId="8" fillId="7" borderId="4" xfId="64" applyNumberFormat="1" applyFont="1" applyFill="1" applyBorder="1"/>
    <xf numFmtId="166" fontId="30" fillId="7" borderId="4" xfId="64" applyFont="1" applyFill="1" applyBorder="1" applyAlignment="1">
      <alignment vertical="center"/>
    </xf>
    <xf numFmtId="166" fontId="11" fillId="7" borderId="4" xfId="64" applyFont="1" applyFill="1" applyBorder="1" applyAlignment="1">
      <alignment vertical="center"/>
    </xf>
    <xf numFmtId="10" fontId="8" fillId="7" borderId="4" xfId="65" applyNumberFormat="1" applyFont="1" applyFill="1" applyBorder="1" applyAlignment="1">
      <alignment vertical="center"/>
    </xf>
    <xf numFmtId="166" fontId="19" fillId="0" borderId="4" xfId="64" applyFont="1" applyFill="1" applyBorder="1" applyAlignment="1">
      <alignment horizontal="center" vertical="center" wrapText="1"/>
    </xf>
    <xf numFmtId="179" fontId="8" fillId="7" borderId="4" xfId="64" applyNumberFormat="1" applyFont="1" applyFill="1" applyBorder="1" applyAlignment="1">
      <alignment vertical="center"/>
    </xf>
    <xf numFmtId="166" fontId="8" fillId="5" borderId="4" xfId="64" applyFont="1" applyFill="1" applyBorder="1"/>
    <xf numFmtId="9" fontId="8" fillId="0" borderId="4" xfId="65" applyFont="1" applyFill="1" applyBorder="1" applyAlignment="1">
      <alignment vertical="center"/>
    </xf>
    <xf numFmtId="166" fontId="9" fillId="0" borderId="4" xfId="134" applyFont="1" applyBorder="1" applyAlignment="1">
      <alignment vertical="center" wrapText="1"/>
    </xf>
    <xf numFmtId="43" fontId="8" fillId="0" borderId="4" xfId="14" applyNumberFormat="1" applyFont="1" applyFill="1" applyBorder="1" applyAlignment="1">
      <alignment horizontal="center" vertical="center"/>
    </xf>
    <xf numFmtId="0" fontId="38" fillId="68" borderId="4" xfId="0" applyFont="1" applyFill="1" applyBorder="1" applyAlignment="1">
      <alignment vertical="center"/>
    </xf>
    <xf numFmtId="0" fontId="38" fillId="68" borderId="4" xfId="0" applyFont="1" applyFill="1" applyBorder="1" applyAlignment="1">
      <alignment horizontal="center" vertical="center"/>
    </xf>
    <xf numFmtId="0" fontId="0" fillId="0" borderId="4" xfId="0" applyBorder="1" applyAlignment="1">
      <alignment vertical="center"/>
    </xf>
    <xf numFmtId="0" fontId="19" fillId="0" borderId="4" xfId="0" applyFont="1" applyBorder="1" applyAlignment="1">
      <alignment vertical="center"/>
    </xf>
    <xf numFmtId="0" fontId="0" fillId="0" borderId="4" xfId="0" applyBorder="1" applyAlignment="1">
      <alignment horizontal="center" vertical="center"/>
    </xf>
    <xf numFmtId="166" fontId="0" fillId="0" borderId="4" xfId="64" applyFont="1" applyBorder="1" applyAlignment="1">
      <alignment vertical="center"/>
    </xf>
    <xf numFmtId="10" fontId="0" fillId="0" borderId="4" xfId="0" applyNumberFormat="1" applyBorder="1" applyAlignment="1">
      <alignment vertical="center"/>
    </xf>
    <xf numFmtId="166" fontId="0" fillId="0" borderId="0" xfId="64" applyFont="1" applyAlignment="1">
      <alignment vertical="center"/>
    </xf>
    <xf numFmtId="43" fontId="0" fillId="0" borderId="4" xfId="0" applyNumberFormat="1" applyBorder="1" applyAlignment="1">
      <alignment vertical="center"/>
    </xf>
    <xf numFmtId="0" fontId="0" fillId="0" borderId="0" xfId="0" applyBorder="1" applyAlignment="1">
      <alignment vertical="center"/>
    </xf>
    <xf numFmtId="43" fontId="0" fillId="58" borderId="4" xfId="0" applyNumberFormat="1" applyFill="1" applyBorder="1" applyAlignment="1">
      <alignment vertical="center"/>
    </xf>
    <xf numFmtId="43" fontId="38" fillId="58" borderId="4" xfId="0" applyNumberFormat="1" applyFont="1" applyFill="1" applyBorder="1" applyAlignment="1">
      <alignment vertical="center"/>
    </xf>
    <xf numFmtId="0" fontId="0" fillId="58" borderId="4" xfId="0" applyFill="1" applyBorder="1" applyAlignment="1">
      <alignment vertical="center"/>
    </xf>
    <xf numFmtId="166" fontId="0" fillId="58" borderId="4" xfId="64" applyFont="1" applyFill="1" applyBorder="1" applyAlignment="1">
      <alignment vertical="center"/>
    </xf>
    <xf numFmtId="166" fontId="124" fillId="0" borderId="0" xfId="64" applyFont="1"/>
    <xf numFmtId="179" fontId="51" fillId="13" borderId="4" xfId="64" applyNumberFormat="1" applyFont="1" applyFill="1" applyBorder="1" applyAlignment="1">
      <alignment horizontal="center" vertical="center" wrapText="1"/>
    </xf>
    <xf numFmtId="179" fontId="50" fillId="0" borderId="4" xfId="64" applyNumberFormat="1" applyFont="1" applyBorder="1"/>
    <xf numFmtId="179" fontId="51" fillId="13" borderId="4" xfId="64" applyNumberFormat="1" applyFont="1" applyFill="1" applyBorder="1"/>
    <xf numFmtId="179" fontId="51" fillId="13" borderId="0" xfId="64" applyNumberFormat="1" applyFont="1" applyFill="1" applyBorder="1"/>
    <xf numFmtId="43" fontId="0" fillId="0" borderId="0" xfId="0" applyNumberFormat="1" applyAlignment="1">
      <alignment vertical="center"/>
    </xf>
    <xf numFmtId="3" fontId="0" fillId="0" borderId="0" xfId="0" applyNumberFormat="1" applyAlignment="1">
      <alignment vertical="center"/>
    </xf>
    <xf numFmtId="0" fontId="1" fillId="0" borderId="0" xfId="519" applyFont="1"/>
    <xf numFmtId="192" fontId="1" fillId="0" borderId="0" xfId="519" applyNumberFormat="1" applyFont="1"/>
    <xf numFmtId="0" fontId="29" fillId="0" borderId="0" xfId="10" applyFont="1"/>
    <xf numFmtId="0" fontId="1" fillId="0" borderId="4" xfId="519" applyFont="1" applyFill="1" applyBorder="1"/>
    <xf numFmtId="173" fontId="126" fillId="0" borderId="4" xfId="520" applyNumberFormat="1" applyFont="1" applyFill="1" applyBorder="1"/>
    <xf numFmtId="192" fontId="1" fillId="0" borderId="4" xfId="519" applyNumberFormat="1" applyFont="1" applyFill="1" applyBorder="1"/>
    <xf numFmtId="10" fontId="126" fillId="0" borderId="4" xfId="521" applyNumberFormat="1" applyFont="1" applyFill="1" applyBorder="1"/>
    <xf numFmtId="0" fontId="1" fillId="0" borderId="4" xfId="519" applyFont="1" applyBorder="1"/>
    <xf numFmtId="43" fontId="126" fillId="0" borderId="4" xfId="520" applyFont="1" applyBorder="1"/>
    <xf numFmtId="173" fontId="1" fillId="0" borderId="4" xfId="519" applyNumberFormat="1" applyFont="1" applyFill="1" applyBorder="1"/>
    <xf numFmtId="10" fontId="126" fillId="0" borderId="4" xfId="521" applyNumberFormat="1" applyFont="1" applyBorder="1"/>
    <xf numFmtId="10" fontId="1" fillId="0" borderId="4" xfId="519" applyNumberFormat="1" applyFont="1" applyBorder="1"/>
    <xf numFmtId="16" fontId="1" fillId="0" borderId="0" xfId="519" applyNumberFormat="1" applyFont="1"/>
    <xf numFmtId="0" fontId="1" fillId="0" borderId="0" xfId="519" applyFont="1" applyFill="1"/>
    <xf numFmtId="43" fontId="126" fillId="0" borderId="4" xfId="520" applyFont="1" applyFill="1" applyBorder="1"/>
    <xf numFmtId="0" fontId="1" fillId="15" borderId="4" xfId="519" applyFont="1" applyFill="1" applyBorder="1"/>
    <xf numFmtId="173" fontId="1" fillId="15" borderId="4" xfId="519" applyNumberFormat="1" applyFont="1" applyFill="1" applyBorder="1"/>
    <xf numFmtId="192" fontId="1" fillId="15" borderId="4" xfId="519" applyNumberFormat="1" applyFont="1" applyFill="1" applyBorder="1"/>
    <xf numFmtId="173" fontId="126" fillId="15" borderId="4" xfId="520" applyNumberFormat="1" applyFont="1" applyFill="1" applyBorder="1"/>
    <xf numFmtId="10" fontId="126" fillId="15" borderId="4" xfId="521" applyNumberFormat="1" applyFont="1" applyFill="1" applyBorder="1"/>
    <xf numFmtId="173" fontId="1" fillId="0" borderId="0" xfId="519" applyNumberFormat="1" applyFont="1" applyFill="1"/>
    <xf numFmtId="9" fontId="1" fillId="0" borderId="0" xfId="519" applyNumberFormat="1" applyFont="1"/>
    <xf numFmtId="166" fontId="1" fillId="0" borderId="4" xfId="64" applyFont="1" applyBorder="1"/>
    <xf numFmtId="0" fontId="1" fillId="66" borderId="4" xfId="519" applyFont="1" applyFill="1" applyBorder="1"/>
    <xf numFmtId="173" fontId="1" fillId="66" borderId="4" xfId="519" applyNumberFormat="1" applyFont="1" applyFill="1" applyBorder="1"/>
    <xf numFmtId="192" fontId="1" fillId="66" borderId="4" xfId="519" applyNumberFormat="1" applyFont="1" applyFill="1" applyBorder="1"/>
    <xf numFmtId="173" fontId="126" fillId="66" borderId="4" xfId="520" applyNumberFormat="1" applyFont="1" applyFill="1" applyBorder="1"/>
    <xf numFmtId="10" fontId="126" fillId="66" borderId="4" xfId="521" applyNumberFormat="1" applyFont="1" applyFill="1" applyBorder="1"/>
    <xf numFmtId="192" fontId="1" fillId="0" borderId="4" xfId="519" applyNumberFormat="1" applyFont="1" applyBorder="1"/>
    <xf numFmtId="0" fontId="8" fillId="0" borderId="4" xfId="14" applyFont="1" applyFill="1" applyBorder="1" applyAlignment="1">
      <alignment horizontal="left" vertical="center" wrapText="1"/>
    </xf>
    <xf numFmtId="166" fontId="9" fillId="0" borderId="4" xfId="26" applyFont="1" applyBorder="1" applyAlignment="1">
      <alignment vertical="center"/>
    </xf>
    <xf numFmtId="0" fontId="8" fillId="0" borderId="4" xfId="10" applyFont="1" applyFill="1" applyBorder="1" applyAlignment="1">
      <alignment horizontal="left" vertical="center"/>
    </xf>
    <xf numFmtId="0" fontId="8" fillId="0" borderId="4" xfId="10" applyFont="1" applyFill="1" applyBorder="1" applyAlignment="1">
      <alignment horizontal="left" vertical="center" wrapText="1"/>
    </xf>
    <xf numFmtId="46" fontId="8" fillId="0" borderId="4" xfId="10" quotePrefix="1" applyNumberFormat="1" applyFont="1" applyFill="1" applyBorder="1" applyAlignment="1">
      <alignment horizontal="left" vertical="center"/>
    </xf>
    <xf numFmtId="17" fontId="8" fillId="0" borderId="4" xfId="10" applyNumberFormat="1" applyFont="1" applyFill="1" applyBorder="1" applyAlignment="1">
      <alignment horizontal="right" vertical="center"/>
    </xf>
    <xf numFmtId="2" fontId="8" fillId="0" borderId="4" xfId="10" applyNumberFormat="1" applyFont="1" applyFill="1" applyBorder="1" applyAlignment="1">
      <alignment horizontal="right" vertical="center"/>
    </xf>
    <xf numFmtId="9" fontId="8" fillId="0" borderId="4" xfId="10" applyNumberFormat="1" applyFont="1" applyFill="1" applyBorder="1" applyAlignment="1">
      <alignment horizontal="right" vertical="center"/>
    </xf>
    <xf numFmtId="0" fontId="40" fillId="74" borderId="4" xfId="0" applyFont="1" applyFill="1" applyBorder="1" applyAlignment="1">
      <alignment vertical="center" wrapText="1"/>
    </xf>
    <xf numFmtId="0" fontId="40" fillId="74" borderId="4" xfId="0" applyFont="1" applyFill="1" applyBorder="1" applyAlignment="1">
      <alignment horizontal="center" vertical="center"/>
    </xf>
    <xf numFmtId="0" fontId="42" fillId="0" borderId="4" xfId="0" applyFont="1" applyBorder="1" applyAlignment="1">
      <alignment vertical="center"/>
    </xf>
    <xf numFmtId="0" fontId="42" fillId="0" borderId="4" xfId="0" applyFont="1" applyBorder="1" applyAlignment="1">
      <alignment horizontal="right" vertical="center"/>
    </xf>
    <xf numFmtId="0" fontId="40" fillId="0" borderId="4" xfId="0" applyFont="1" applyBorder="1" applyAlignment="1">
      <alignment vertical="center"/>
    </xf>
    <xf numFmtId="10" fontId="42" fillId="0" borderId="4" xfId="0" applyNumberFormat="1" applyFont="1" applyBorder="1" applyAlignment="1">
      <alignment horizontal="right" vertical="center"/>
    </xf>
    <xf numFmtId="3" fontId="42" fillId="0" borderId="4" xfId="0" applyNumberFormat="1" applyFont="1" applyBorder="1" applyAlignment="1">
      <alignment horizontal="right" vertical="center"/>
    </xf>
    <xf numFmtId="0" fontId="8" fillId="0" borderId="4" xfId="14" applyFont="1" applyBorder="1" applyAlignment="1">
      <alignment horizontal="left" vertical="top" wrapText="1"/>
    </xf>
    <xf numFmtId="0" fontId="38" fillId="68" borderId="4" xfId="0" applyFont="1" applyFill="1" applyBorder="1" applyAlignment="1">
      <alignment horizontal="center" vertical="center"/>
    </xf>
    <xf numFmtId="0" fontId="38" fillId="68" borderId="7" xfId="0" applyFont="1" applyFill="1" applyBorder="1" applyAlignment="1">
      <alignment horizontal="center" vertical="center"/>
    </xf>
    <xf numFmtId="0" fontId="38" fillId="68" borderId="6" xfId="0" applyFont="1" applyFill="1" applyBorder="1" applyAlignment="1">
      <alignment horizontal="center" vertical="center"/>
    </xf>
    <xf numFmtId="0" fontId="12" fillId="0" borderId="0" xfId="14" applyFont="1" applyAlignment="1">
      <alignment horizontal="center" vertical="center"/>
    </xf>
    <xf numFmtId="0" fontId="19" fillId="0" borderId="0" xfId="10" applyAlignment="1">
      <alignment horizontal="center" vertical="center"/>
    </xf>
    <xf numFmtId="0" fontId="12" fillId="0" borderId="0" xfId="10" applyFont="1" applyBorder="1" applyAlignment="1">
      <alignment horizontal="center" vertical="center" wrapText="1"/>
    </xf>
    <xf numFmtId="0" fontId="19" fillId="0" borderId="0" xfId="10" applyAlignment="1">
      <alignment horizontal="center" vertical="center" wrapText="1"/>
    </xf>
    <xf numFmtId="0" fontId="12" fillId="4" borderId="7" xfId="14" applyFont="1" applyFill="1" applyBorder="1" applyAlignment="1">
      <alignment horizontal="center" vertical="center"/>
    </xf>
    <xf numFmtId="0" fontId="12" fillId="4" borderId="9" xfId="14" applyFont="1" applyFill="1" applyBorder="1" applyAlignment="1">
      <alignment horizontal="center" vertical="center"/>
    </xf>
    <xf numFmtId="0" fontId="17" fillId="0" borderId="6" xfId="10" applyFont="1" applyBorder="1" applyAlignment="1">
      <alignment horizontal="center" vertical="center"/>
    </xf>
    <xf numFmtId="0" fontId="12" fillId="4" borderId="4" xfId="14" applyFont="1" applyFill="1" applyBorder="1" applyAlignment="1">
      <alignment horizontal="center" vertical="center"/>
    </xf>
    <xf numFmtId="0" fontId="17" fillId="0" borderId="4" xfId="10" applyFont="1" applyBorder="1" applyAlignment="1">
      <alignment horizontal="center" vertical="center"/>
    </xf>
    <xf numFmtId="0" fontId="9" fillId="4" borderId="7" xfId="63" applyFont="1" applyFill="1" applyBorder="1" applyAlignment="1">
      <alignment horizontal="center" vertical="center" wrapText="1"/>
    </xf>
    <xf numFmtId="0" fontId="9" fillId="4" borderId="9" xfId="63" applyFont="1" applyFill="1" applyBorder="1" applyAlignment="1">
      <alignment horizontal="center" vertical="center" wrapText="1"/>
    </xf>
    <xf numFmtId="0" fontId="19" fillId="0" borderId="6" xfId="27" applyBorder="1" applyAlignment="1">
      <alignment horizontal="center" vertical="center" wrapText="1"/>
    </xf>
    <xf numFmtId="0" fontId="9" fillId="4" borderId="4" xfId="63" applyFont="1" applyFill="1" applyBorder="1" applyAlignment="1">
      <alignment horizontal="center" vertical="center"/>
    </xf>
    <xf numFmtId="0" fontId="19" fillId="0" borderId="4" xfId="27" applyBorder="1" applyAlignment="1">
      <alignment horizontal="center" vertical="center"/>
    </xf>
    <xf numFmtId="0" fontId="9" fillId="4" borderId="5" xfId="63" applyFont="1" applyFill="1" applyBorder="1" applyAlignment="1">
      <alignment horizontal="center" vertical="center" wrapText="1"/>
    </xf>
    <xf numFmtId="0" fontId="9" fillId="4" borderId="3" xfId="63" applyFont="1" applyFill="1" applyBorder="1" applyAlignment="1">
      <alignment horizontal="center" vertical="center" wrapText="1"/>
    </xf>
    <xf numFmtId="0" fontId="9" fillId="4" borderId="8" xfId="63" applyFont="1" applyFill="1" applyBorder="1" applyAlignment="1">
      <alignment horizontal="center" vertical="center" wrapText="1"/>
    </xf>
    <xf numFmtId="0" fontId="9" fillId="4" borderId="4" xfId="63" applyFont="1" applyFill="1" applyBorder="1" applyAlignment="1">
      <alignment horizontal="center" vertical="center" wrapText="1"/>
    </xf>
    <xf numFmtId="0" fontId="8" fillId="0" borderId="4" xfId="27" applyFont="1" applyBorder="1" applyAlignment="1">
      <alignment horizontal="center" vertical="center" wrapText="1"/>
    </xf>
    <xf numFmtId="0" fontId="9" fillId="4" borderId="4" xfId="14" applyFont="1" applyFill="1" applyBorder="1" applyAlignment="1">
      <alignment horizontal="center" vertical="center" wrapText="1"/>
    </xf>
    <xf numFmtId="0" fontId="19" fillId="0" borderId="4" xfId="10" applyBorder="1" applyAlignment="1">
      <alignment horizontal="center" vertical="center" wrapText="1"/>
    </xf>
    <xf numFmtId="0" fontId="9" fillId="0" borderId="10" xfId="10" quotePrefix="1" applyFont="1" applyBorder="1" applyAlignment="1">
      <alignment horizontal="center" vertical="center" wrapText="1"/>
    </xf>
    <xf numFmtId="0" fontId="9" fillId="0" borderId="13" xfId="10" quotePrefix="1" applyFont="1" applyBorder="1" applyAlignment="1">
      <alignment horizontal="center" vertical="center" wrapText="1"/>
    </xf>
    <xf numFmtId="0" fontId="9" fillId="0" borderId="14" xfId="10" quotePrefix="1" applyFont="1" applyBorder="1" applyAlignment="1">
      <alignment horizontal="center" vertical="center" wrapText="1"/>
    </xf>
    <xf numFmtId="0" fontId="9" fillId="0" borderId="11" xfId="10" quotePrefix="1" applyFont="1" applyBorder="1" applyAlignment="1">
      <alignment horizontal="center" vertical="center" wrapText="1"/>
    </xf>
    <xf numFmtId="0" fontId="9" fillId="0" borderId="0" xfId="10" quotePrefix="1" applyFont="1" applyBorder="1" applyAlignment="1">
      <alignment horizontal="center" vertical="center" wrapText="1"/>
    </xf>
    <xf numFmtId="0" fontId="9" fillId="0" borderId="35" xfId="10" quotePrefix="1" applyFont="1" applyBorder="1" applyAlignment="1">
      <alignment horizontal="center" vertical="center" wrapText="1"/>
    </xf>
    <xf numFmtId="0" fontId="9" fillId="0" borderId="12" xfId="10" quotePrefix="1" applyFont="1" applyBorder="1" applyAlignment="1">
      <alignment horizontal="center" vertical="center" wrapText="1"/>
    </xf>
    <xf numFmtId="0" fontId="9" fillId="0" borderId="36" xfId="10" quotePrefix="1" applyFont="1" applyBorder="1" applyAlignment="1">
      <alignment horizontal="center" vertical="center" wrapText="1"/>
    </xf>
    <xf numFmtId="0" fontId="9" fillId="0" borderId="37" xfId="10" quotePrefix="1" applyFont="1" applyBorder="1" applyAlignment="1">
      <alignment horizontal="center" vertical="center" wrapText="1"/>
    </xf>
    <xf numFmtId="0" fontId="9" fillId="4" borderId="4" xfId="10" applyFont="1" applyFill="1" applyBorder="1" applyAlignment="1">
      <alignment horizontal="center" vertical="center" wrapText="1"/>
    </xf>
    <xf numFmtId="0" fontId="9" fillId="4" borderId="5" xfId="10" applyFont="1" applyFill="1" applyBorder="1" applyAlignment="1">
      <alignment horizontal="center" vertical="center"/>
    </xf>
    <xf numFmtId="0" fontId="9" fillId="4" borderId="3" xfId="10" applyFont="1" applyFill="1" applyBorder="1" applyAlignment="1">
      <alignment horizontal="center" vertical="center"/>
    </xf>
    <xf numFmtId="0" fontId="9" fillId="4" borderId="8" xfId="10" applyFont="1" applyFill="1" applyBorder="1" applyAlignment="1">
      <alignment horizontal="center" vertical="center"/>
    </xf>
    <xf numFmtId="0" fontId="9" fillId="4" borderId="5" xfId="14" applyFont="1" applyFill="1" applyBorder="1" applyAlignment="1">
      <alignment horizontal="center" vertical="center" wrapText="1"/>
    </xf>
    <xf numFmtId="0" fontId="9" fillId="4" borderId="3" xfId="14" applyFont="1" applyFill="1" applyBorder="1" applyAlignment="1">
      <alignment horizontal="center" vertical="center" wrapText="1"/>
    </xf>
    <xf numFmtId="0" fontId="9" fillId="4" borderId="8" xfId="14" applyFont="1" applyFill="1" applyBorder="1" applyAlignment="1">
      <alignment horizontal="center" vertical="center" wrapText="1"/>
    </xf>
    <xf numFmtId="0" fontId="9" fillId="4" borderId="7" xfId="10" applyFont="1" applyFill="1" applyBorder="1" applyAlignment="1">
      <alignment horizontal="center" vertical="center" wrapText="1"/>
    </xf>
    <xf numFmtId="0" fontId="9" fillId="4" borderId="9" xfId="10" applyFont="1" applyFill="1" applyBorder="1" applyAlignment="1">
      <alignment horizontal="center" vertical="center" wrapText="1"/>
    </xf>
    <xf numFmtId="0" fontId="9" fillId="4" borderId="6" xfId="10" applyFont="1" applyFill="1" applyBorder="1" applyAlignment="1">
      <alignment horizontal="center" vertical="center" wrapText="1"/>
    </xf>
    <xf numFmtId="0" fontId="111" fillId="0" borderId="10" xfId="10" quotePrefix="1" applyFont="1" applyBorder="1" applyAlignment="1">
      <alignment horizontal="center" vertical="center" wrapText="1"/>
    </xf>
    <xf numFmtId="0" fontId="111" fillId="0" borderId="13" xfId="10" quotePrefix="1" applyFont="1" applyBorder="1" applyAlignment="1">
      <alignment horizontal="center" vertical="center" wrapText="1"/>
    </xf>
    <xf numFmtId="0" fontId="111" fillId="0" borderId="14" xfId="10" quotePrefix="1" applyFont="1" applyBorder="1" applyAlignment="1">
      <alignment horizontal="center" vertical="center" wrapText="1"/>
    </xf>
    <xf numFmtId="0" fontId="111" fillId="0" borderId="11" xfId="10" quotePrefix="1" applyFont="1" applyBorder="1" applyAlignment="1">
      <alignment horizontal="center" vertical="center" wrapText="1"/>
    </xf>
    <xf numFmtId="0" fontId="111" fillId="0" borderId="0" xfId="10" quotePrefix="1" applyFont="1" applyBorder="1" applyAlignment="1">
      <alignment horizontal="center" vertical="center" wrapText="1"/>
    </xf>
    <xf numFmtId="0" fontId="111" fillId="0" borderId="35" xfId="10" quotePrefix="1" applyFont="1" applyBorder="1" applyAlignment="1">
      <alignment horizontal="center" vertical="center" wrapText="1"/>
    </xf>
    <xf numFmtId="0" fontId="111" fillId="0" borderId="12" xfId="10" quotePrefix="1" applyFont="1" applyBorder="1" applyAlignment="1">
      <alignment horizontal="center" vertical="center" wrapText="1"/>
    </xf>
    <xf numFmtId="0" fontId="111" fillId="0" borderId="36" xfId="10" quotePrefix="1" applyFont="1" applyBorder="1" applyAlignment="1">
      <alignment horizontal="center" vertical="center" wrapText="1"/>
    </xf>
    <xf numFmtId="0" fontId="111" fillId="0" borderId="37" xfId="10" quotePrefix="1" applyFont="1" applyBorder="1" applyAlignment="1">
      <alignment horizontal="center" vertical="center" wrapText="1"/>
    </xf>
    <xf numFmtId="0" fontId="9" fillId="4" borderId="4" xfId="10" applyFont="1" applyFill="1" applyBorder="1" applyAlignment="1">
      <alignment horizontal="center" vertical="center"/>
    </xf>
    <xf numFmtId="16" fontId="9" fillId="4" borderId="4" xfId="10" applyNumberFormat="1" applyFont="1" applyFill="1" applyBorder="1" applyAlignment="1">
      <alignment horizontal="center" vertical="center" wrapText="1"/>
    </xf>
    <xf numFmtId="0" fontId="9" fillId="0" borderId="0" xfId="10" applyFont="1" applyBorder="1" applyAlignment="1">
      <alignment horizontal="center" vertical="center"/>
    </xf>
    <xf numFmtId="0" fontId="9" fillId="7" borderId="4" xfId="14" applyFont="1" applyFill="1" applyBorder="1" applyAlignment="1">
      <alignment horizontal="center" vertical="center" wrapText="1"/>
    </xf>
    <xf numFmtId="166" fontId="8" fillId="7" borderId="4" xfId="26" applyFont="1" applyFill="1" applyBorder="1" applyAlignment="1">
      <alignment horizontal="right" vertical="center"/>
    </xf>
    <xf numFmtId="0" fontId="9" fillId="0" borderId="0" xfId="0" applyFont="1" applyBorder="1" applyAlignment="1">
      <alignment horizontal="left"/>
    </xf>
    <xf numFmtId="0" fontId="8" fillId="0" borderId="7" xfId="10" applyFont="1" applyFill="1" applyBorder="1" applyAlignment="1">
      <alignment horizontal="right" vertical="center"/>
    </xf>
    <xf numFmtId="0" fontId="8" fillId="0" borderId="9" xfId="10" applyFont="1" applyFill="1" applyBorder="1" applyAlignment="1">
      <alignment horizontal="right" vertical="center"/>
    </xf>
    <xf numFmtId="0" fontId="8" fillId="0" borderId="6" xfId="10" applyFont="1" applyFill="1" applyBorder="1" applyAlignment="1">
      <alignment horizontal="right" vertical="center"/>
    </xf>
    <xf numFmtId="0" fontId="9" fillId="4" borderId="7" xfId="14" applyFont="1" applyFill="1" applyBorder="1" applyAlignment="1">
      <alignment horizontal="center" vertical="center" wrapText="1"/>
    </xf>
    <xf numFmtId="0" fontId="9" fillId="4" borderId="6" xfId="14" applyFont="1" applyFill="1" applyBorder="1" applyAlignment="1">
      <alignment horizontal="center" vertical="center" wrapText="1"/>
    </xf>
    <xf numFmtId="0" fontId="9" fillId="4" borderId="7" xfId="14" applyFont="1" applyFill="1" applyBorder="1" applyAlignment="1">
      <alignment horizontal="left" vertical="center" wrapText="1"/>
    </xf>
    <xf numFmtId="0" fontId="9" fillId="4" borderId="6" xfId="14" applyFont="1" applyFill="1" applyBorder="1" applyAlignment="1">
      <alignment horizontal="left" vertical="center" wrapText="1"/>
    </xf>
    <xf numFmtId="0" fontId="8" fillId="0" borderId="7" xfId="14" applyFont="1" applyFill="1" applyBorder="1" applyAlignment="1">
      <alignment horizontal="right" vertical="center" wrapText="1"/>
    </xf>
    <xf numFmtId="0" fontId="8" fillId="0" borderId="9" xfId="14" applyFont="1" applyFill="1" applyBorder="1" applyAlignment="1">
      <alignment horizontal="right" vertical="center" wrapText="1"/>
    </xf>
    <xf numFmtId="0" fontId="8" fillId="0" borderId="6" xfId="14" applyFont="1" applyFill="1" applyBorder="1" applyAlignment="1">
      <alignment horizontal="right" vertical="center" wrapText="1"/>
    </xf>
    <xf numFmtId="166" fontId="8" fillId="0" borderId="4" xfId="64" applyFont="1" applyFill="1" applyBorder="1" applyAlignment="1">
      <alignment horizontal="center" vertical="center"/>
    </xf>
    <xf numFmtId="166" fontId="8" fillId="0" borderId="7" xfId="64" applyFont="1" applyFill="1" applyBorder="1" applyAlignment="1">
      <alignment horizontal="center" vertical="center"/>
    </xf>
    <xf numFmtId="166" fontId="8" fillId="0" borderId="9" xfId="64" applyFont="1" applyFill="1" applyBorder="1" applyAlignment="1">
      <alignment horizontal="center" vertical="center"/>
    </xf>
    <xf numFmtId="166" fontId="8" fillId="0" borderId="6" xfId="64" applyFont="1" applyFill="1" applyBorder="1" applyAlignment="1">
      <alignment horizontal="center" vertical="center"/>
    </xf>
    <xf numFmtId="0" fontId="9" fillId="4" borderId="9" xfId="14" applyFont="1" applyFill="1" applyBorder="1" applyAlignment="1">
      <alignment horizontal="center" vertical="center" wrapText="1"/>
    </xf>
    <xf numFmtId="0" fontId="8" fillId="0" borderId="6" xfId="10" applyFont="1" applyBorder="1" applyAlignment="1">
      <alignment horizontal="center" vertical="center" wrapText="1"/>
    </xf>
    <xf numFmtId="0" fontId="8" fillId="0" borderId="4" xfId="10" applyFont="1" applyBorder="1" applyAlignment="1">
      <alignment horizontal="center" vertical="center" wrapText="1"/>
    </xf>
    <xf numFmtId="0" fontId="8" fillId="0" borderId="7" xfId="10" applyFont="1" applyFill="1" applyBorder="1" applyAlignment="1">
      <alignment horizontal="center" vertical="center"/>
    </xf>
    <xf numFmtId="0" fontId="8" fillId="0" borderId="9" xfId="10" applyFont="1" applyFill="1" applyBorder="1" applyAlignment="1">
      <alignment horizontal="center" vertical="center"/>
    </xf>
    <xf numFmtId="0" fontId="8" fillId="0" borderId="6" xfId="10" applyFont="1" applyFill="1" applyBorder="1" applyAlignment="1">
      <alignment horizontal="center" vertical="center"/>
    </xf>
    <xf numFmtId="0" fontId="9" fillId="8" borderId="7" xfId="10" applyFont="1" applyFill="1" applyBorder="1" applyAlignment="1">
      <alignment horizontal="center" vertical="center" wrapText="1"/>
    </xf>
    <xf numFmtId="0" fontId="9" fillId="8" borderId="6" xfId="10" applyFont="1" applyFill="1" applyBorder="1" applyAlignment="1">
      <alignment horizontal="center" vertical="center" wrapText="1"/>
    </xf>
    <xf numFmtId="0" fontId="9" fillId="8" borderId="7" xfId="10" applyFont="1" applyFill="1" applyBorder="1" applyAlignment="1">
      <alignment horizontal="left" vertical="center" wrapText="1"/>
    </xf>
    <xf numFmtId="0" fontId="9" fillId="8" borderId="6" xfId="10" applyFont="1" applyFill="1" applyBorder="1" applyAlignment="1">
      <alignment horizontal="left" vertical="center" wrapText="1"/>
    </xf>
    <xf numFmtId="0" fontId="9" fillId="8" borderId="5" xfId="10" applyFont="1" applyFill="1" applyBorder="1" applyAlignment="1">
      <alignment horizontal="center" vertical="center"/>
    </xf>
    <xf numFmtId="0" fontId="9" fillId="8" borderId="3" xfId="10" applyFont="1" applyFill="1" applyBorder="1" applyAlignment="1">
      <alignment horizontal="center" vertical="center"/>
    </xf>
    <xf numFmtId="0" fontId="9" fillId="8" borderId="8" xfId="10" applyFont="1" applyFill="1" applyBorder="1" applyAlignment="1">
      <alignment horizontal="center" vertical="center"/>
    </xf>
    <xf numFmtId="0" fontId="9" fillId="4" borderId="7" xfId="14" applyFont="1" applyFill="1" applyBorder="1" applyAlignment="1">
      <alignment horizontal="center" vertical="center"/>
    </xf>
    <xf numFmtId="0" fontId="9" fillId="4" borderId="9" xfId="14" applyFont="1" applyFill="1" applyBorder="1" applyAlignment="1">
      <alignment horizontal="center" vertical="center"/>
    </xf>
    <xf numFmtId="0" fontId="8" fillId="0" borderId="5" xfId="14" applyFont="1" applyBorder="1" applyAlignment="1">
      <alignment horizontal="center" vertical="center"/>
    </xf>
    <xf numFmtId="0" fontId="8" fillId="0" borderId="3" xfId="14" applyFont="1" applyBorder="1" applyAlignment="1">
      <alignment horizontal="center" vertical="center"/>
    </xf>
    <xf numFmtId="0" fontId="8" fillId="0" borderId="8" xfId="14" applyFont="1" applyBorder="1" applyAlignment="1">
      <alignment horizontal="center" vertical="center"/>
    </xf>
    <xf numFmtId="0" fontId="8" fillId="0" borderId="5" xfId="14" applyFont="1" applyBorder="1" applyAlignment="1">
      <alignment horizontal="center" vertical="center" wrapText="1"/>
    </xf>
    <xf numFmtId="0" fontId="8" fillId="0" borderId="3" xfId="14" applyFont="1" applyBorder="1" applyAlignment="1">
      <alignment horizontal="center" vertical="center" wrapText="1"/>
    </xf>
    <xf numFmtId="0" fontId="8" fillId="0" borderId="8" xfId="14" applyFont="1" applyBorder="1" applyAlignment="1">
      <alignment horizontal="center" vertical="center" wrapText="1"/>
    </xf>
    <xf numFmtId="0" fontId="19" fillId="0" borderId="4" xfId="27" applyBorder="1" applyAlignment="1">
      <alignment horizontal="center" vertical="center" wrapText="1"/>
    </xf>
    <xf numFmtId="0" fontId="9" fillId="4" borderId="5" xfId="10" applyFont="1" applyFill="1" applyBorder="1" applyAlignment="1">
      <alignment horizontal="center" vertical="center" wrapText="1"/>
    </xf>
    <xf numFmtId="0" fontId="9" fillId="4" borderId="3" xfId="10" applyFont="1" applyFill="1" applyBorder="1" applyAlignment="1">
      <alignment horizontal="center" vertical="center" wrapText="1"/>
    </xf>
    <xf numFmtId="0" fontId="9" fillId="4" borderId="8" xfId="10" applyFont="1" applyFill="1" applyBorder="1" applyAlignment="1">
      <alignment horizontal="center" vertical="center" wrapText="1"/>
    </xf>
    <xf numFmtId="0" fontId="9" fillId="4" borderId="7" xfId="10" applyFont="1" applyFill="1" applyBorder="1" applyAlignment="1">
      <alignment horizontal="left" vertical="center" wrapText="1"/>
    </xf>
    <xf numFmtId="0" fontId="9" fillId="4" borderId="9" xfId="10" applyFont="1" applyFill="1" applyBorder="1" applyAlignment="1">
      <alignment horizontal="left" vertical="center" wrapText="1"/>
    </xf>
    <xf numFmtId="0" fontId="9" fillId="4" borderId="6" xfId="10" applyFont="1" applyFill="1" applyBorder="1" applyAlignment="1">
      <alignment horizontal="left" vertical="center" wrapText="1"/>
    </xf>
    <xf numFmtId="0" fontId="29" fillId="0" borderId="4" xfId="10" applyFont="1" applyBorder="1" applyAlignment="1">
      <alignment horizontal="center" vertical="center" wrapText="1"/>
    </xf>
    <xf numFmtId="167" fontId="9" fillId="0" borderId="7" xfId="10" applyNumberFormat="1" applyFont="1" applyFill="1" applyBorder="1" applyAlignment="1">
      <alignment horizontal="center" vertical="center"/>
    </xf>
    <xf numFmtId="167" fontId="9" fillId="0" borderId="9" xfId="10" applyNumberFormat="1" applyFont="1" applyFill="1" applyBorder="1" applyAlignment="1">
      <alignment horizontal="center" vertical="center"/>
    </xf>
    <xf numFmtId="167" fontId="9" fillId="0" borderId="6" xfId="10" applyNumberFormat="1" applyFont="1" applyFill="1" applyBorder="1" applyAlignment="1">
      <alignment horizontal="center" vertical="center"/>
    </xf>
    <xf numFmtId="167" fontId="8" fillId="0" borderId="7" xfId="10" applyNumberFormat="1" applyFont="1" applyFill="1" applyBorder="1" applyAlignment="1">
      <alignment horizontal="center" vertical="center"/>
    </xf>
    <xf numFmtId="167" fontId="8" fillId="0" borderId="9" xfId="10" applyNumberFormat="1" applyFont="1" applyFill="1" applyBorder="1" applyAlignment="1">
      <alignment horizontal="center" vertical="center"/>
    </xf>
    <xf numFmtId="167" fontId="8" fillId="0" borderId="6" xfId="10" applyNumberFormat="1" applyFont="1" applyFill="1" applyBorder="1" applyAlignment="1">
      <alignment horizontal="center" vertical="center"/>
    </xf>
    <xf numFmtId="10" fontId="8" fillId="0" borderId="7" xfId="10" applyNumberFormat="1" applyFont="1" applyFill="1" applyBorder="1" applyAlignment="1">
      <alignment horizontal="center" vertical="center"/>
    </xf>
    <xf numFmtId="10" fontId="8" fillId="0" borderId="9" xfId="10" applyNumberFormat="1" applyFont="1" applyFill="1" applyBorder="1" applyAlignment="1">
      <alignment horizontal="center" vertical="center"/>
    </xf>
    <xf numFmtId="10" fontId="8" fillId="0" borderId="6" xfId="10" applyNumberFormat="1" applyFont="1" applyFill="1" applyBorder="1" applyAlignment="1">
      <alignment horizontal="center" vertical="center"/>
    </xf>
    <xf numFmtId="2" fontId="9" fillId="0" borderId="7" xfId="10" applyNumberFormat="1" applyFont="1" applyFill="1" applyBorder="1" applyAlignment="1">
      <alignment horizontal="right" vertical="center"/>
    </xf>
    <xf numFmtId="2" fontId="9" fillId="0" borderId="9" xfId="10" applyNumberFormat="1" applyFont="1" applyFill="1" applyBorder="1" applyAlignment="1">
      <alignment horizontal="right" vertical="center"/>
    </xf>
    <xf numFmtId="2" fontId="9" fillId="0" borderId="6" xfId="10" applyNumberFormat="1" applyFont="1" applyFill="1" applyBorder="1" applyAlignment="1">
      <alignment horizontal="right" vertical="center"/>
    </xf>
    <xf numFmtId="0" fontId="9" fillId="4" borderId="10" xfId="10" applyFont="1" applyFill="1" applyBorder="1" applyAlignment="1">
      <alignment horizontal="center" vertical="center" wrapText="1"/>
    </xf>
    <xf numFmtId="0" fontId="9" fillId="4" borderId="13" xfId="10" applyFont="1" applyFill="1" applyBorder="1" applyAlignment="1">
      <alignment horizontal="center" vertical="center" wrapText="1"/>
    </xf>
    <xf numFmtId="0" fontId="9" fillId="4" borderId="14" xfId="10" applyFont="1" applyFill="1" applyBorder="1" applyAlignment="1">
      <alignment horizontal="center" vertical="center" wrapText="1"/>
    </xf>
    <xf numFmtId="9" fontId="8" fillId="0" borderId="7" xfId="10" applyNumberFormat="1" applyFont="1" applyFill="1" applyBorder="1" applyAlignment="1">
      <alignment horizontal="right"/>
    </xf>
    <xf numFmtId="0" fontId="8" fillId="0" borderId="9" xfId="10" applyFont="1" applyFill="1" applyBorder="1" applyAlignment="1">
      <alignment horizontal="right"/>
    </xf>
    <xf numFmtId="0" fontId="8" fillId="0" borderId="6" xfId="10" applyFont="1" applyFill="1" applyBorder="1" applyAlignment="1">
      <alignment horizontal="right"/>
    </xf>
    <xf numFmtId="166" fontId="8" fillId="0" borderId="7" xfId="64" applyFont="1" applyFill="1" applyBorder="1" applyAlignment="1">
      <alignment horizontal="right" vertical="center"/>
    </xf>
    <xf numFmtId="166" fontId="8" fillId="0" borderId="9" xfId="64" applyFont="1" applyFill="1" applyBorder="1" applyAlignment="1">
      <alignment horizontal="right" vertical="center"/>
    </xf>
    <xf numFmtId="166" fontId="8" fillId="0" borderId="6" xfId="64" applyFont="1" applyFill="1" applyBorder="1" applyAlignment="1">
      <alignment horizontal="right" vertical="center"/>
    </xf>
    <xf numFmtId="0" fontId="9" fillId="4" borderId="4" xfId="10" applyFont="1" applyFill="1" applyBorder="1" applyAlignment="1">
      <alignment horizontal="center" wrapText="1"/>
    </xf>
    <xf numFmtId="0" fontId="29" fillId="0" borderId="4" xfId="10" applyFont="1" applyBorder="1" applyAlignment="1">
      <alignment horizontal="center" wrapText="1"/>
    </xf>
    <xf numFmtId="0" fontId="9" fillId="0" borderId="0" xfId="10" applyFont="1" applyFill="1" applyBorder="1" applyAlignment="1">
      <alignment horizontal="center" vertical="center" wrapText="1"/>
    </xf>
    <xf numFmtId="0" fontId="9" fillId="0" borderId="0" xfId="10" applyFont="1" applyFill="1" applyBorder="1" applyAlignment="1">
      <alignment horizontal="center" wrapText="1"/>
    </xf>
    <xf numFmtId="0" fontId="29" fillId="0" borderId="0" xfId="10" applyFont="1" applyFill="1" applyBorder="1" applyAlignment="1">
      <alignment horizontal="center" wrapText="1"/>
    </xf>
    <xf numFmtId="0" fontId="8" fillId="5" borderId="7" xfId="10" applyFont="1" applyFill="1" applyBorder="1" applyAlignment="1" applyProtection="1">
      <alignment horizontal="center"/>
    </xf>
    <xf numFmtId="0" fontId="8" fillId="5" borderId="9" xfId="10" applyFont="1" applyFill="1" applyBorder="1" applyAlignment="1" applyProtection="1">
      <alignment horizontal="center"/>
    </xf>
    <xf numFmtId="0" fontId="8" fillId="5" borderId="6" xfId="10" applyFont="1" applyFill="1" applyBorder="1" applyAlignment="1" applyProtection="1">
      <alignment horizontal="center"/>
    </xf>
    <xf numFmtId="0" fontId="8" fillId="0" borderId="6" xfId="27" applyFont="1" applyBorder="1" applyAlignment="1">
      <alignment horizontal="center" vertical="center" wrapText="1"/>
    </xf>
    <xf numFmtId="0" fontId="8" fillId="0" borderId="4" xfId="27" applyFont="1" applyBorder="1" applyAlignment="1">
      <alignment horizontal="center" vertical="center"/>
    </xf>
    <xf numFmtId="0" fontId="8" fillId="5" borderId="10" xfId="10" applyFont="1" applyFill="1" applyBorder="1" applyAlignment="1">
      <alignment horizontal="center" vertical="center"/>
    </xf>
    <xf numFmtId="0" fontId="8" fillId="5" borderId="13" xfId="10" applyFont="1" applyFill="1" applyBorder="1" applyAlignment="1">
      <alignment horizontal="center" vertical="center"/>
    </xf>
    <xf numFmtId="0" fontId="8" fillId="5" borderId="14" xfId="10" applyFont="1" applyFill="1" applyBorder="1" applyAlignment="1">
      <alignment horizontal="center" vertical="center"/>
    </xf>
    <xf numFmtId="0" fontId="8" fillId="5" borderId="11" xfId="10" applyFont="1" applyFill="1" applyBorder="1" applyAlignment="1">
      <alignment horizontal="center" vertical="center"/>
    </xf>
    <xf numFmtId="0" fontId="8" fillId="5" borderId="0" xfId="10" applyFont="1" applyFill="1" applyBorder="1" applyAlignment="1">
      <alignment horizontal="center" vertical="center"/>
    </xf>
    <xf numFmtId="0" fontId="8" fillId="5" borderId="35" xfId="10" applyFont="1" applyFill="1" applyBorder="1" applyAlignment="1">
      <alignment horizontal="center" vertical="center"/>
    </xf>
    <xf numFmtId="0" fontId="8" fillId="5" borderId="12" xfId="10" applyFont="1" applyFill="1" applyBorder="1" applyAlignment="1">
      <alignment horizontal="center" vertical="center"/>
    </xf>
    <xf numFmtId="0" fontId="8" fillId="5" borderId="36" xfId="10" applyFont="1" applyFill="1" applyBorder="1" applyAlignment="1">
      <alignment horizontal="center" vertical="center"/>
    </xf>
    <xf numFmtId="0" fontId="8" fillId="5" borderId="37" xfId="10" applyFont="1" applyFill="1" applyBorder="1" applyAlignment="1">
      <alignment horizontal="center" vertical="center"/>
    </xf>
    <xf numFmtId="0" fontId="9" fillId="0" borderId="10" xfId="10" applyFont="1" applyBorder="1" applyAlignment="1">
      <alignment horizontal="center" vertical="center" wrapText="1"/>
    </xf>
    <xf numFmtId="0" fontId="9" fillId="0" borderId="13" xfId="10" applyFont="1" applyBorder="1" applyAlignment="1">
      <alignment horizontal="center" vertical="center" wrapText="1"/>
    </xf>
    <xf numFmtId="0" fontId="9" fillId="0" borderId="14" xfId="10" applyFont="1" applyBorder="1" applyAlignment="1">
      <alignment horizontal="center" vertical="center" wrapText="1"/>
    </xf>
    <xf numFmtId="0" fontId="9" fillId="0" borderId="11" xfId="10" applyFont="1" applyBorder="1" applyAlignment="1">
      <alignment horizontal="center" vertical="center" wrapText="1"/>
    </xf>
    <xf numFmtId="0" fontId="9" fillId="0" borderId="0" xfId="10" applyFont="1" applyBorder="1" applyAlignment="1">
      <alignment horizontal="center" vertical="center" wrapText="1"/>
    </xf>
    <xf numFmtId="0" fontId="9" fillId="0" borderId="35" xfId="10" applyFont="1" applyBorder="1" applyAlignment="1">
      <alignment horizontal="center" vertical="center" wrapText="1"/>
    </xf>
    <xf numFmtId="0" fontId="9" fillId="0" borderId="12" xfId="10" applyFont="1" applyBorder="1" applyAlignment="1">
      <alignment horizontal="center" vertical="center" wrapText="1"/>
    </xf>
    <xf numFmtId="0" fontId="9" fillId="0" borderId="36" xfId="10" applyFont="1" applyBorder="1" applyAlignment="1">
      <alignment horizontal="center" vertical="center" wrapText="1"/>
    </xf>
    <xf numFmtId="0" fontId="9" fillId="0" borderId="37" xfId="10" applyFont="1" applyBorder="1" applyAlignment="1">
      <alignment horizontal="center" vertical="center" wrapText="1"/>
    </xf>
    <xf numFmtId="0" fontId="9" fillId="4" borderId="4" xfId="27" applyFont="1" applyFill="1" applyBorder="1" applyAlignment="1">
      <alignment horizontal="center" vertical="center" wrapText="1"/>
    </xf>
    <xf numFmtId="0" fontId="9" fillId="4" borderId="4" xfId="27" applyFont="1" applyFill="1" applyBorder="1" applyAlignment="1">
      <alignment horizontal="center" vertical="center"/>
    </xf>
    <xf numFmtId="0" fontId="9" fillId="4" borderId="7" xfId="10" applyFont="1" applyFill="1" applyBorder="1" applyAlignment="1">
      <alignment horizontal="center" vertical="center"/>
    </xf>
    <xf numFmtId="0" fontId="9" fillId="4" borderId="6" xfId="10" applyFont="1" applyFill="1" applyBorder="1" applyAlignment="1">
      <alignment horizontal="center" vertical="center"/>
    </xf>
    <xf numFmtId="0" fontId="9" fillId="0" borderId="36" xfId="14" applyFont="1" applyBorder="1" applyAlignment="1">
      <alignment horizontal="center" vertical="center"/>
    </xf>
    <xf numFmtId="166" fontId="8" fillId="0" borderId="7" xfId="20" applyFont="1" applyBorder="1" applyAlignment="1">
      <alignment horizontal="center" vertical="center"/>
    </xf>
    <xf numFmtId="166" fontId="8" fillId="0" borderId="9" xfId="20" applyFont="1" applyBorder="1" applyAlignment="1">
      <alignment horizontal="center" vertical="center"/>
    </xf>
    <xf numFmtId="166" fontId="8" fillId="0" borderId="6" xfId="20" applyFont="1" applyBorder="1" applyAlignment="1">
      <alignment horizontal="center" vertical="center"/>
    </xf>
    <xf numFmtId="0" fontId="8" fillId="0" borderId="0" xfId="10" applyFont="1" applyAlignment="1">
      <alignment horizontal="left" vertical="center" wrapText="1"/>
    </xf>
    <xf numFmtId="0" fontId="29" fillId="0" borderId="6" xfId="27" applyFont="1" applyBorder="1" applyAlignment="1">
      <alignment horizontal="center" vertical="center" wrapText="1"/>
    </xf>
    <xf numFmtId="0" fontId="29" fillId="0" borderId="4" xfId="27" applyFont="1" applyBorder="1" applyAlignment="1">
      <alignment horizontal="center" vertical="center"/>
    </xf>
    <xf numFmtId="0" fontId="34" fillId="0" borderId="7" xfId="19" applyFont="1" applyBorder="1" applyAlignment="1">
      <alignment horizontal="center" vertical="center"/>
    </xf>
    <xf numFmtId="0" fontId="34" fillId="0" borderId="9" xfId="19" applyFont="1" applyBorder="1" applyAlignment="1">
      <alignment horizontal="center" vertical="center"/>
    </xf>
    <xf numFmtId="0" fontId="34" fillId="0" borderId="6" xfId="19" applyFont="1" applyBorder="1" applyAlignment="1">
      <alignment horizontal="center" vertical="center"/>
    </xf>
    <xf numFmtId="0" fontId="9" fillId="4" borderId="6" xfId="14" applyFont="1" applyFill="1" applyBorder="1" applyAlignment="1">
      <alignment horizontal="center" vertical="center"/>
    </xf>
    <xf numFmtId="0" fontId="9" fillId="0" borderId="10" xfId="14" applyFont="1" applyBorder="1" applyAlignment="1">
      <alignment horizontal="center" vertical="center" wrapText="1"/>
    </xf>
    <xf numFmtId="0" fontId="9" fillId="0" borderId="14" xfId="14" applyFont="1" applyBorder="1" applyAlignment="1">
      <alignment horizontal="center" vertical="center" wrapText="1"/>
    </xf>
    <xf numFmtId="0" fontId="9" fillId="0" borderId="11" xfId="14" applyFont="1" applyBorder="1" applyAlignment="1">
      <alignment horizontal="center" vertical="center" wrapText="1"/>
    </xf>
    <xf numFmtId="0" fontId="9" fillId="0" borderId="35" xfId="14" applyFont="1" applyBorder="1" applyAlignment="1">
      <alignment horizontal="center" vertical="center" wrapText="1"/>
    </xf>
    <xf numFmtId="0" fontId="9" fillId="0" borderId="12" xfId="14" applyFont="1" applyBorder="1" applyAlignment="1">
      <alignment horizontal="center" vertical="center" wrapText="1"/>
    </xf>
    <xf numFmtId="0" fontId="9" fillId="0" borderId="37" xfId="14" applyFont="1" applyBorder="1" applyAlignment="1">
      <alignment horizontal="center" vertical="center" wrapText="1"/>
    </xf>
    <xf numFmtId="0" fontId="8" fillId="0" borderId="7" xfId="14" applyFont="1" applyBorder="1" applyAlignment="1">
      <alignment horizontal="center" vertical="center" wrapText="1"/>
    </xf>
    <xf numFmtId="0" fontId="8" fillId="0" borderId="9" xfId="14" applyFont="1" applyBorder="1" applyAlignment="1">
      <alignment horizontal="center" vertical="center" wrapText="1"/>
    </xf>
    <xf numFmtId="0" fontId="8" fillId="0" borderId="6" xfId="14" applyFont="1" applyBorder="1" applyAlignment="1">
      <alignment horizontal="center" vertical="center" wrapText="1"/>
    </xf>
    <xf numFmtId="0" fontId="9" fillId="4" borderId="4" xfId="10" applyFont="1" applyFill="1" applyBorder="1" applyAlignment="1" applyProtection="1">
      <alignment horizontal="center" vertical="center" wrapText="1"/>
    </xf>
    <xf numFmtId="0" fontId="9" fillId="4" borderId="4" xfId="14" applyFont="1" applyFill="1" applyBorder="1" applyAlignment="1">
      <alignment horizontal="center" vertical="center"/>
    </xf>
    <xf numFmtId="0" fontId="9" fillId="4" borderId="4" xfId="10" applyFont="1" applyFill="1" applyBorder="1" applyAlignment="1" applyProtection="1">
      <alignment horizontal="center" vertical="center"/>
    </xf>
    <xf numFmtId="0" fontId="9" fillId="4" borderId="4" xfId="10" applyFont="1" applyFill="1" applyBorder="1" applyAlignment="1" applyProtection="1">
      <alignment horizontal="center" vertical="top" wrapText="1"/>
    </xf>
    <xf numFmtId="0" fontId="8" fillId="4" borderId="4" xfId="14" applyFont="1" applyFill="1" applyBorder="1" applyAlignment="1">
      <alignment horizontal="center" vertical="center"/>
    </xf>
    <xf numFmtId="0" fontId="40" fillId="10" borderId="4" xfId="10" applyFont="1" applyFill="1" applyBorder="1" applyAlignment="1">
      <alignment horizontal="center" vertical="center" wrapText="1"/>
    </xf>
    <xf numFmtId="2" fontId="42" fillId="0" borderId="7" xfId="10" applyNumberFormat="1" applyFont="1" applyBorder="1" applyAlignment="1">
      <alignment horizontal="center" vertical="center" wrapText="1"/>
    </xf>
    <xf numFmtId="0" fontId="42" fillId="0" borderId="9" xfId="10" applyFont="1" applyBorder="1" applyAlignment="1">
      <alignment horizontal="center" vertical="center" wrapText="1"/>
    </xf>
    <xf numFmtId="0" fontId="42" fillId="0" borderId="6" xfId="10" applyFont="1" applyBorder="1" applyAlignment="1">
      <alignment horizontal="center" vertical="center" wrapText="1"/>
    </xf>
    <xf numFmtId="0" fontId="40" fillId="10" borderId="4" xfId="10" applyFont="1" applyFill="1" applyBorder="1" applyAlignment="1">
      <alignment horizontal="center" vertical="center"/>
    </xf>
    <xf numFmtId="0" fontId="40" fillId="10" borderId="7" xfId="10" applyFont="1" applyFill="1" applyBorder="1" applyAlignment="1">
      <alignment horizontal="center" vertical="center"/>
    </xf>
    <xf numFmtId="0" fontId="40" fillId="10" borderId="6" xfId="10" applyFont="1" applyFill="1" applyBorder="1" applyAlignment="1">
      <alignment horizontal="center" vertical="center"/>
    </xf>
    <xf numFmtId="0" fontId="43" fillId="0" borderId="13" xfId="10" applyFont="1" applyBorder="1" applyAlignment="1">
      <alignment horizontal="left" wrapText="1"/>
    </xf>
    <xf numFmtId="0" fontId="43" fillId="0" borderId="13" xfId="10" applyFont="1" applyBorder="1" applyAlignment="1">
      <alignment horizontal="left" vertical="center" wrapText="1"/>
    </xf>
    <xf numFmtId="0" fontId="43" fillId="0" borderId="13" xfId="10" applyFont="1" applyBorder="1" applyAlignment="1">
      <alignment horizontal="left" vertical="center"/>
    </xf>
    <xf numFmtId="10" fontId="8" fillId="0" borderId="7" xfId="65" applyNumberFormat="1" applyFont="1" applyBorder="1" applyAlignment="1">
      <alignment horizontal="center" vertical="center"/>
    </xf>
    <xf numFmtId="10" fontId="8" fillId="0" borderId="9" xfId="65" applyNumberFormat="1" applyFont="1" applyBorder="1" applyAlignment="1">
      <alignment horizontal="center" vertical="center"/>
    </xf>
    <xf numFmtId="10" fontId="8" fillId="0" borderId="6" xfId="65" applyNumberFormat="1" applyFont="1" applyBorder="1" applyAlignment="1">
      <alignment horizontal="center" vertical="center"/>
    </xf>
    <xf numFmtId="0" fontId="9" fillId="8" borderId="7" xfId="10" applyFont="1" applyFill="1" applyBorder="1" applyAlignment="1" applyProtection="1">
      <alignment horizontal="center" vertical="center" wrapText="1"/>
    </xf>
    <xf numFmtId="0" fontId="9" fillId="8" borderId="6" xfId="10" applyFont="1" applyFill="1" applyBorder="1" applyAlignment="1" applyProtection="1">
      <alignment horizontal="center" vertical="center" wrapText="1"/>
    </xf>
    <xf numFmtId="2" fontId="8" fillId="0" borderId="4" xfId="14" applyNumberFormat="1" applyFont="1" applyBorder="1" applyAlignment="1">
      <alignment vertical="center"/>
    </xf>
    <xf numFmtId="0" fontId="8" fillId="0" borderId="4" xfId="14" applyFont="1" applyBorder="1" applyAlignment="1">
      <alignment vertical="center"/>
    </xf>
    <xf numFmtId="0" fontId="9" fillId="8" borderId="4" xfId="10" applyFont="1" applyFill="1" applyBorder="1" applyAlignment="1" applyProtection="1">
      <alignment horizontal="center" vertical="center" wrapText="1"/>
    </xf>
    <xf numFmtId="0" fontId="9" fillId="8" borderId="5" xfId="10" applyFont="1" applyFill="1" applyBorder="1" applyAlignment="1" applyProtection="1">
      <alignment horizontal="center" vertical="center" wrapText="1"/>
    </xf>
    <xf numFmtId="0" fontId="9" fillId="8" borderId="3" xfId="10" applyFont="1" applyFill="1" applyBorder="1" applyAlignment="1" applyProtection="1">
      <alignment horizontal="center" vertical="center" wrapText="1"/>
    </xf>
    <xf numFmtId="0" fontId="9" fillId="8" borderId="8" xfId="10" applyFont="1" applyFill="1" applyBorder="1" applyAlignment="1" applyProtection="1">
      <alignment horizontal="center" vertical="center" wrapText="1"/>
    </xf>
    <xf numFmtId="0" fontId="9" fillId="8" borderId="7" xfId="14" applyFont="1" applyFill="1" applyBorder="1" applyAlignment="1">
      <alignment horizontal="center" vertical="center"/>
    </xf>
    <xf numFmtId="0" fontId="9" fillId="8" borderId="9" xfId="14" applyFont="1" applyFill="1" applyBorder="1" applyAlignment="1">
      <alignment horizontal="center" vertical="center"/>
    </xf>
    <xf numFmtId="0" fontId="9" fillId="8" borderId="6" xfId="14" applyFont="1" applyFill="1" applyBorder="1" applyAlignment="1">
      <alignment horizontal="center" vertical="center"/>
    </xf>
    <xf numFmtId="0" fontId="9" fillId="8" borderId="10" xfId="10" applyFont="1" applyFill="1" applyBorder="1" applyAlignment="1" applyProtection="1">
      <alignment horizontal="center" vertical="center" wrapText="1"/>
    </xf>
    <xf numFmtId="0" fontId="9" fillId="8" borderId="11" xfId="10" applyFont="1" applyFill="1" applyBorder="1" applyAlignment="1" applyProtection="1">
      <alignment horizontal="center" vertical="center" wrapText="1"/>
    </xf>
    <xf numFmtId="0" fontId="9" fillId="8" borderId="12" xfId="10" applyFont="1" applyFill="1" applyBorder="1" applyAlignment="1" applyProtection="1">
      <alignment horizontal="center" vertical="center" wrapText="1"/>
    </xf>
    <xf numFmtId="0" fontId="9" fillId="8" borderId="4" xfId="14" applyFont="1" applyFill="1" applyBorder="1" applyAlignment="1">
      <alignment horizontal="center" vertical="center" wrapText="1"/>
    </xf>
    <xf numFmtId="0" fontId="10" fillId="8" borderId="4" xfId="10" applyFont="1" applyFill="1" applyBorder="1" applyAlignment="1">
      <alignment horizontal="center" vertical="center" wrapText="1"/>
    </xf>
    <xf numFmtId="0" fontId="9" fillId="8" borderId="4" xfId="10" applyFont="1" applyFill="1" applyBorder="1" applyAlignment="1">
      <alignment horizontal="center" vertical="center" wrapText="1"/>
    </xf>
    <xf numFmtId="0" fontId="9" fillId="8" borderId="5" xfId="14" applyFont="1" applyFill="1" applyBorder="1" applyAlignment="1">
      <alignment horizontal="center" vertical="center" wrapText="1"/>
    </xf>
    <xf numFmtId="0" fontId="9" fillId="8" borderId="8" xfId="14" applyFont="1" applyFill="1" applyBorder="1" applyAlignment="1">
      <alignment horizontal="center" vertical="center" wrapText="1"/>
    </xf>
    <xf numFmtId="0" fontId="9" fillId="0" borderId="10" xfId="14" applyFont="1" applyBorder="1" applyAlignment="1">
      <alignment horizontal="center" vertical="center"/>
    </xf>
    <xf numFmtId="0" fontId="9" fillId="0" borderId="13" xfId="14" applyFont="1" applyBorder="1" applyAlignment="1">
      <alignment horizontal="center" vertical="center"/>
    </xf>
    <xf numFmtId="0" fontId="9" fillId="0" borderId="14" xfId="14" applyFont="1" applyBorder="1" applyAlignment="1">
      <alignment horizontal="center" vertical="center"/>
    </xf>
    <xf numFmtId="0" fontId="9" fillId="0" borderId="11" xfId="14" applyFont="1" applyBorder="1" applyAlignment="1">
      <alignment horizontal="center" vertical="center"/>
    </xf>
    <xf numFmtId="0" fontId="9" fillId="0" borderId="0" xfId="14" applyFont="1" applyBorder="1" applyAlignment="1">
      <alignment horizontal="center" vertical="center"/>
    </xf>
    <xf numFmtId="0" fontId="9" fillId="0" borderId="35" xfId="14" applyFont="1" applyBorder="1" applyAlignment="1">
      <alignment horizontal="center" vertical="center"/>
    </xf>
    <xf numFmtId="0" fontId="9" fillId="0" borderId="12" xfId="14" applyFont="1" applyBorder="1" applyAlignment="1">
      <alignment horizontal="center" vertical="center"/>
    </xf>
    <xf numFmtId="0" fontId="9" fillId="0" borderId="37" xfId="14" applyFont="1" applyBorder="1" applyAlignment="1">
      <alignment horizontal="center" vertical="center"/>
    </xf>
    <xf numFmtId="0" fontId="38" fillId="13" borderId="0" xfId="0" applyFont="1" applyFill="1" applyAlignment="1">
      <alignment horizontal="center"/>
    </xf>
    <xf numFmtId="0" fontId="38" fillId="0" borderId="4" xfId="0" applyFont="1" applyBorder="1" applyAlignment="1">
      <alignment horizontal="center"/>
    </xf>
    <xf numFmtId="0" fontId="0" fillId="0" borderId="4" xfId="0" applyBorder="1" applyAlignment="1">
      <alignment horizontal="center"/>
    </xf>
    <xf numFmtId="0" fontId="105" fillId="0" borderId="33" xfId="517" applyFont="1" applyBorder="1" applyAlignment="1">
      <alignment horizontal="center"/>
    </xf>
    <xf numFmtId="0" fontId="105" fillId="0" borderId="2" xfId="517" applyFont="1" applyBorder="1" applyAlignment="1">
      <alignment horizontal="center"/>
    </xf>
    <xf numFmtId="0" fontId="105" fillId="0" borderId="34" xfId="517" applyFont="1" applyBorder="1" applyAlignment="1">
      <alignment horizontal="center"/>
    </xf>
    <xf numFmtId="0" fontId="105" fillId="63" borderId="4" xfId="517" applyFont="1" applyFill="1" applyBorder="1" applyAlignment="1">
      <alignment horizontal="center"/>
    </xf>
    <xf numFmtId="0" fontId="12" fillId="8" borderId="4" xfId="517" applyFont="1" applyFill="1" applyBorder="1" applyAlignment="1">
      <alignment horizontal="center" vertical="center"/>
    </xf>
    <xf numFmtId="0" fontId="116" fillId="0" borderId="4" xfId="0" applyFont="1" applyBorder="1" applyAlignment="1">
      <alignment horizontal="center" vertical="center"/>
    </xf>
    <xf numFmtId="0" fontId="49" fillId="14" borderId="7" xfId="66" applyFont="1" applyFill="1" applyBorder="1" applyAlignment="1">
      <alignment horizontal="center" vertical="center" wrapText="1"/>
    </xf>
    <xf numFmtId="0" fontId="49" fillId="14" borderId="9" xfId="66" applyFont="1" applyFill="1" applyBorder="1" applyAlignment="1">
      <alignment horizontal="center" vertical="center" wrapText="1"/>
    </xf>
    <xf numFmtId="0" fontId="49" fillId="14" borderId="6" xfId="66" applyFont="1" applyFill="1" applyBorder="1" applyAlignment="1">
      <alignment horizontal="center" vertical="center" wrapText="1"/>
    </xf>
    <xf numFmtId="0" fontId="49" fillId="7" borderId="7" xfId="66" applyFont="1" applyFill="1" applyBorder="1" applyAlignment="1">
      <alignment horizontal="left" vertical="center" wrapText="1"/>
    </xf>
    <xf numFmtId="0" fontId="49" fillId="7" borderId="6" xfId="66" applyFont="1" applyFill="1" applyBorder="1" applyAlignment="1">
      <alignment horizontal="left" vertical="center" wrapText="1"/>
    </xf>
    <xf numFmtId="0" fontId="48" fillId="7" borderId="7" xfId="66" applyFont="1" applyFill="1" applyBorder="1" applyAlignment="1">
      <alignment horizontal="left" vertical="center" wrapText="1"/>
    </xf>
    <xf numFmtId="0" fontId="48" fillId="7" borderId="6" xfId="66" applyFont="1" applyFill="1" applyBorder="1" applyAlignment="1">
      <alignment horizontal="left" vertical="center" wrapText="1"/>
    </xf>
    <xf numFmtId="10" fontId="49" fillId="0" borderId="4" xfId="0" applyNumberFormat="1" applyFont="1" applyBorder="1" applyAlignment="1">
      <alignment horizontal="center" vertical="center" wrapText="1"/>
    </xf>
    <xf numFmtId="10" fontId="49" fillId="0" borderId="4" xfId="0" applyNumberFormat="1" applyFont="1" applyBorder="1" applyAlignment="1">
      <alignment horizontal="center" vertical="center"/>
    </xf>
    <xf numFmtId="0" fontId="49" fillId="14" borderId="4" xfId="66" applyFont="1" applyFill="1" applyBorder="1" applyAlignment="1">
      <alignment horizontal="center" vertical="center" wrapText="1"/>
    </xf>
    <xf numFmtId="0" fontId="48" fillId="0" borderId="0" xfId="0" applyFont="1" applyAlignment="1">
      <alignment horizontal="center"/>
    </xf>
    <xf numFmtId="0" fontId="49" fillId="0" borderId="4" xfId="0" applyFont="1" applyBorder="1" applyAlignment="1">
      <alignment horizontal="center" vertical="center"/>
    </xf>
    <xf numFmtId="0" fontId="38" fillId="15" borderId="36" xfId="0" applyFont="1" applyFill="1" applyBorder="1" applyAlignment="1">
      <alignment horizontal="center"/>
    </xf>
    <xf numFmtId="0" fontId="50" fillId="0" borderId="4" xfId="0" applyFont="1" applyBorder="1" applyAlignment="1">
      <alignment horizontal="center"/>
    </xf>
    <xf numFmtId="0" fontId="51" fillId="60" borderId="11" xfId="0" applyFont="1" applyFill="1" applyBorder="1" applyAlignment="1">
      <alignment horizontal="center" vertical="center" wrapText="1"/>
    </xf>
    <xf numFmtId="0" fontId="51" fillId="60" borderId="12" xfId="0" applyFont="1" applyFill="1" applyBorder="1" applyAlignment="1">
      <alignment horizontal="center" vertical="center" wrapText="1"/>
    </xf>
    <xf numFmtId="0" fontId="12" fillId="0" borderId="4" xfId="0" applyFont="1" applyBorder="1" applyAlignment="1">
      <alignment horizontal="center" vertical="center"/>
    </xf>
    <xf numFmtId="0" fontId="12" fillId="68" borderId="7" xfId="10" applyFont="1" applyFill="1" applyBorder="1" applyAlignment="1">
      <alignment horizontal="center" vertical="center"/>
    </xf>
    <xf numFmtId="0" fontId="12" fillId="68" borderId="9" xfId="10" applyFont="1" applyFill="1" applyBorder="1" applyAlignment="1">
      <alignment horizontal="center" vertical="center"/>
    </xf>
    <xf numFmtId="0" fontId="12" fillId="68" borderId="6" xfId="10" applyFont="1" applyFill="1" applyBorder="1" applyAlignment="1">
      <alignment horizontal="center" vertical="center"/>
    </xf>
    <xf numFmtId="0" fontId="12" fillId="68" borderId="4" xfId="0" applyFont="1" applyFill="1" applyBorder="1" applyAlignment="1">
      <alignment horizontal="center" wrapText="1"/>
    </xf>
    <xf numFmtId="0" fontId="12" fillId="72" borderId="4" xfId="0" applyFont="1" applyFill="1" applyBorder="1" applyAlignment="1">
      <alignment horizontal="center" wrapText="1"/>
    </xf>
    <xf numFmtId="0" fontId="12" fillId="69" borderId="4" xfId="0" applyFont="1" applyFill="1" applyBorder="1" applyAlignment="1">
      <alignment horizontal="center" wrapText="1"/>
    </xf>
  </cellXfs>
  <cellStyles count="559">
    <cellStyle name="_Allocation" xfId="67" xr:uid="{00000000-0005-0000-0000-000000000000}"/>
    <cellStyle name="_Buyers Credit details to accounts - 16.3.05" xfId="68" xr:uid="{00000000-0005-0000-0000-000001000000}"/>
    <cellStyle name="_CASH FLOW 11-04-05" xfId="69" xr:uid="{00000000-0005-0000-0000-000002000000}"/>
    <cellStyle name="_Financial Model _VIPL_July 2009" xfId="70" xr:uid="{00000000-0005-0000-0000-000003000000}"/>
    <cellStyle name="_Reliance Power Group Advance tax_2nd Quarter_AY 2010-11" xfId="71" xr:uid="{00000000-0005-0000-0000-000004000000}"/>
    <cellStyle name="=C:\WINNT\SYSTEM32\COMMAND.COM" xfId="72" xr:uid="{00000000-0005-0000-0000-000005000000}"/>
    <cellStyle name="20% - Accent1 2" xfId="73" xr:uid="{00000000-0005-0000-0000-000006000000}"/>
    <cellStyle name="20% - Accent1 3" xfId="74" xr:uid="{00000000-0005-0000-0000-000007000000}"/>
    <cellStyle name="20% - Accent2 2" xfId="75" xr:uid="{00000000-0005-0000-0000-000008000000}"/>
    <cellStyle name="20% - Accent2 3" xfId="76" xr:uid="{00000000-0005-0000-0000-000009000000}"/>
    <cellStyle name="20% - Accent3 2" xfId="77" xr:uid="{00000000-0005-0000-0000-00000A000000}"/>
    <cellStyle name="20% - Accent3 3" xfId="78" xr:uid="{00000000-0005-0000-0000-00000B000000}"/>
    <cellStyle name="20% - Accent4 2" xfId="79" xr:uid="{00000000-0005-0000-0000-00000C000000}"/>
    <cellStyle name="20% - Accent4 3" xfId="80" xr:uid="{00000000-0005-0000-0000-00000D000000}"/>
    <cellStyle name="20% - Accent5 2" xfId="81" xr:uid="{00000000-0005-0000-0000-00000E000000}"/>
    <cellStyle name="20% - Accent5 3" xfId="82" xr:uid="{00000000-0005-0000-0000-00000F000000}"/>
    <cellStyle name="20% - Accent6 2" xfId="83" xr:uid="{00000000-0005-0000-0000-000010000000}"/>
    <cellStyle name="20% - Accent6 3" xfId="84" xr:uid="{00000000-0005-0000-0000-000011000000}"/>
    <cellStyle name="40% - Accent1 2" xfId="85" xr:uid="{00000000-0005-0000-0000-000012000000}"/>
    <cellStyle name="40% - Accent1 3" xfId="86" xr:uid="{00000000-0005-0000-0000-000013000000}"/>
    <cellStyle name="40% - Accent2 2" xfId="87" xr:uid="{00000000-0005-0000-0000-000014000000}"/>
    <cellStyle name="40% - Accent2 3" xfId="88" xr:uid="{00000000-0005-0000-0000-000015000000}"/>
    <cellStyle name="40% - Accent3 2" xfId="89" xr:uid="{00000000-0005-0000-0000-000016000000}"/>
    <cellStyle name="40% - Accent3 3" xfId="90" xr:uid="{00000000-0005-0000-0000-000017000000}"/>
    <cellStyle name="40% - Accent4 2" xfId="91" xr:uid="{00000000-0005-0000-0000-000018000000}"/>
    <cellStyle name="40% - Accent4 3" xfId="92" xr:uid="{00000000-0005-0000-0000-000019000000}"/>
    <cellStyle name="40% - Accent5 2" xfId="93" xr:uid="{00000000-0005-0000-0000-00001A000000}"/>
    <cellStyle name="40% - Accent5 3" xfId="94" xr:uid="{00000000-0005-0000-0000-00001B000000}"/>
    <cellStyle name="40% - Accent6 2" xfId="95" xr:uid="{00000000-0005-0000-0000-00001C000000}"/>
    <cellStyle name="40% - Accent6 3" xfId="96" xr:uid="{00000000-0005-0000-0000-00001D000000}"/>
    <cellStyle name="60% - Accent1 2" xfId="97" xr:uid="{00000000-0005-0000-0000-00001E000000}"/>
    <cellStyle name="60% - Accent1 3" xfId="98" xr:uid="{00000000-0005-0000-0000-00001F000000}"/>
    <cellStyle name="60% - Accent2 2" xfId="99" xr:uid="{00000000-0005-0000-0000-000020000000}"/>
    <cellStyle name="60% - Accent2 3" xfId="100" xr:uid="{00000000-0005-0000-0000-000021000000}"/>
    <cellStyle name="60% - Accent3 2" xfId="101" xr:uid="{00000000-0005-0000-0000-000022000000}"/>
    <cellStyle name="60% - Accent3 3" xfId="102" xr:uid="{00000000-0005-0000-0000-000023000000}"/>
    <cellStyle name="60% - Accent4 2" xfId="103" xr:uid="{00000000-0005-0000-0000-000024000000}"/>
    <cellStyle name="60% - Accent4 3" xfId="104" xr:uid="{00000000-0005-0000-0000-000025000000}"/>
    <cellStyle name="60% - Accent5 2" xfId="105" xr:uid="{00000000-0005-0000-0000-000026000000}"/>
    <cellStyle name="60% - Accent5 3" xfId="106" xr:uid="{00000000-0005-0000-0000-000027000000}"/>
    <cellStyle name="60% - Accent6 2" xfId="107" xr:uid="{00000000-0005-0000-0000-000028000000}"/>
    <cellStyle name="60% - Accent6 3" xfId="108" xr:uid="{00000000-0005-0000-0000-000029000000}"/>
    <cellStyle name="Accent1 2" xfId="109" xr:uid="{00000000-0005-0000-0000-00002A000000}"/>
    <cellStyle name="Accent1 3" xfId="110" xr:uid="{00000000-0005-0000-0000-00002B000000}"/>
    <cellStyle name="Accent2 2" xfId="111" xr:uid="{00000000-0005-0000-0000-00002C000000}"/>
    <cellStyle name="Accent2 3" xfId="112" xr:uid="{00000000-0005-0000-0000-00002D000000}"/>
    <cellStyle name="Accent3 2" xfId="113" xr:uid="{00000000-0005-0000-0000-00002E000000}"/>
    <cellStyle name="Accent3 3" xfId="114" xr:uid="{00000000-0005-0000-0000-00002F000000}"/>
    <cellStyle name="Accent4 2" xfId="115" xr:uid="{00000000-0005-0000-0000-000030000000}"/>
    <cellStyle name="Accent4 3" xfId="116" xr:uid="{00000000-0005-0000-0000-000031000000}"/>
    <cellStyle name="Accent5 2" xfId="117" xr:uid="{00000000-0005-0000-0000-000032000000}"/>
    <cellStyle name="Accent5 3" xfId="118" xr:uid="{00000000-0005-0000-0000-000033000000}"/>
    <cellStyle name="Accent6 2" xfId="119" xr:uid="{00000000-0005-0000-0000-000034000000}"/>
    <cellStyle name="Accent6 3" xfId="120" xr:uid="{00000000-0005-0000-0000-000035000000}"/>
    <cellStyle name="Bad 2" xfId="121" xr:uid="{00000000-0005-0000-0000-000036000000}"/>
    <cellStyle name="Bad 3" xfId="122" xr:uid="{00000000-0005-0000-0000-000037000000}"/>
    <cellStyle name="Body" xfId="1" xr:uid="{00000000-0005-0000-0000-000038000000}"/>
    <cellStyle name="Calculation 2" xfId="123" xr:uid="{00000000-0005-0000-0000-000039000000}"/>
    <cellStyle name="Calculation 3" xfId="124" xr:uid="{00000000-0005-0000-0000-00003A000000}"/>
    <cellStyle name="CaseSelector" xfId="125" xr:uid="{00000000-0005-0000-0000-00003B000000}"/>
    <cellStyle name="CaseSelector 2" xfId="126" xr:uid="{00000000-0005-0000-0000-00003C000000}"/>
    <cellStyle name="CaseSelector 3" xfId="127" xr:uid="{00000000-0005-0000-0000-00003D000000}"/>
    <cellStyle name="CaseSelector 4" xfId="128" xr:uid="{00000000-0005-0000-0000-00003E000000}"/>
    <cellStyle name="CaseSelector 5" xfId="129" xr:uid="{00000000-0005-0000-0000-00003F000000}"/>
    <cellStyle name="CaseSelector_TPC-G MYT 2008-09 APR_Capex SG Edits_R2" xfId="130" xr:uid="{00000000-0005-0000-0000-000040000000}"/>
    <cellStyle name="Check Cell 2" xfId="131" xr:uid="{00000000-0005-0000-0000-000041000000}"/>
    <cellStyle name="Check Cell 3" xfId="132" xr:uid="{00000000-0005-0000-0000-000042000000}"/>
    <cellStyle name="Comma" xfId="64" builtinId="3"/>
    <cellStyle name="Comma  - Style1" xfId="2" xr:uid="{00000000-0005-0000-0000-000044000000}"/>
    <cellStyle name="Comma 10" xfId="133" xr:uid="{00000000-0005-0000-0000-000045000000}"/>
    <cellStyle name="Comma 11" xfId="134" xr:uid="{00000000-0005-0000-0000-000046000000}"/>
    <cellStyle name="Comma 11 2" xfId="20" xr:uid="{00000000-0005-0000-0000-000047000000}"/>
    <cellStyle name="Comma 11 2 2" xfId="135" xr:uid="{00000000-0005-0000-0000-000048000000}"/>
    <cellStyle name="Comma 11 3" xfId="551" xr:uid="{00000000-0005-0000-0000-000049000000}"/>
    <cellStyle name="Comma 12" xfId="136" xr:uid="{00000000-0005-0000-0000-00004A000000}"/>
    <cellStyle name="Comma 12 2" xfId="137" xr:uid="{00000000-0005-0000-0000-00004B000000}"/>
    <cellStyle name="Comma 13" xfId="138" xr:uid="{00000000-0005-0000-0000-00004C000000}"/>
    <cellStyle name="Comma 14" xfId="139" xr:uid="{00000000-0005-0000-0000-00004D000000}"/>
    <cellStyle name="Comma 15" xfId="140" xr:uid="{00000000-0005-0000-0000-00004E000000}"/>
    <cellStyle name="Comma 16" xfId="141" xr:uid="{00000000-0005-0000-0000-00004F000000}"/>
    <cellStyle name="Comma 17" xfId="142" xr:uid="{00000000-0005-0000-0000-000050000000}"/>
    <cellStyle name="Comma 18" xfId="143" xr:uid="{00000000-0005-0000-0000-000051000000}"/>
    <cellStyle name="Comma 19" xfId="144" xr:uid="{00000000-0005-0000-0000-000052000000}"/>
    <cellStyle name="Comma 2" xfId="26" xr:uid="{00000000-0005-0000-0000-000053000000}"/>
    <cellStyle name="Comma 2 11" xfId="145" xr:uid="{00000000-0005-0000-0000-000054000000}"/>
    <cellStyle name="Comma 2 2" xfId="35" xr:uid="{00000000-0005-0000-0000-000055000000}"/>
    <cellStyle name="Comma 2 2 2" xfId="146" xr:uid="{00000000-0005-0000-0000-000056000000}"/>
    <cellStyle name="Comma 2 2 3" xfId="147" xr:uid="{00000000-0005-0000-0000-000057000000}"/>
    <cellStyle name="Comma 2 2 4" xfId="525" xr:uid="{00000000-0005-0000-0000-000058000000}"/>
    <cellStyle name="Comma 2 2_Support Data_Yogesh2_FY 2009-10" xfId="148" xr:uid="{00000000-0005-0000-0000-000059000000}"/>
    <cellStyle name="Comma 2 3" xfId="36" xr:uid="{00000000-0005-0000-0000-00005A000000}"/>
    <cellStyle name="Comma 2 3 2" xfId="526" xr:uid="{00000000-0005-0000-0000-00005B000000}"/>
    <cellStyle name="Comma 2 4" xfId="58" xr:uid="{00000000-0005-0000-0000-00005C000000}"/>
    <cellStyle name="Comma 2 5" xfId="149" xr:uid="{00000000-0005-0000-0000-00005D000000}"/>
    <cellStyle name="Comma 2 6" xfId="524" xr:uid="{00000000-0005-0000-0000-00005E000000}"/>
    <cellStyle name="Comma 2 7" xfId="548" xr:uid="{00000000-0005-0000-0000-00005F000000}"/>
    <cellStyle name="Comma 20" xfId="150" xr:uid="{00000000-0005-0000-0000-000060000000}"/>
    <cellStyle name="Comma 21" xfId="151" xr:uid="{00000000-0005-0000-0000-000061000000}"/>
    <cellStyle name="Comma 22" xfId="152" xr:uid="{00000000-0005-0000-0000-000062000000}"/>
    <cellStyle name="Comma 23" xfId="153" xr:uid="{00000000-0005-0000-0000-000063000000}"/>
    <cellStyle name="Comma 24" xfId="154" xr:uid="{00000000-0005-0000-0000-000064000000}"/>
    <cellStyle name="Comma 25" xfId="155" xr:uid="{00000000-0005-0000-0000-000065000000}"/>
    <cellStyle name="Comma 26" xfId="520" xr:uid="{00000000-0005-0000-0000-000066000000}"/>
    <cellStyle name="Comma 26 2" xfId="557" xr:uid="{00000000-0005-0000-0000-000067000000}"/>
    <cellStyle name="Comma 27" xfId="523" xr:uid="{00000000-0005-0000-0000-000068000000}"/>
    <cellStyle name="Comma 28" xfId="544" xr:uid="{00000000-0005-0000-0000-000069000000}"/>
    <cellStyle name="Comma 3" xfId="37" xr:uid="{00000000-0005-0000-0000-00006A000000}"/>
    <cellStyle name="Comma 3 2" xfId="156" xr:uid="{00000000-0005-0000-0000-00006B000000}"/>
    <cellStyle name="Comma 3 2 2" xfId="527" xr:uid="{00000000-0005-0000-0000-00006C000000}"/>
    <cellStyle name="Comma 3 3" xfId="157" xr:uid="{00000000-0005-0000-0000-00006D000000}"/>
    <cellStyle name="Comma 4" xfId="38" xr:uid="{00000000-0005-0000-0000-00006E000000}"/>
    <cellStyle name="Comma 4 2" xfId="158" xr:uid="{00000000-0005-0000-0000-00006F000000}"/>
    <cellStyle name="Comma 4 2 2" xfId="159" xr:uid="{00000000-0005-0000-0000-000070000000}"/>
    <cellStyle name="Comma 4 2 2 2" xfId="160" xr:uid="{00000000-0005-0000-0000-000071000000}"/>
    <cellStyle name="Comma 4 2 3" xfId="529" xr:uid="{00000000-0005-0000-0000-000072000000}"/>
    <cellStyle name="Comma 4 3" xfId="528" xr:uid="{00000000-0005-0000-0000-000073000000}"/>
    <cellStyle name="Comma 5" xfId="39" xr:uid="{00000000-0005-0000-0000-000074000000}"/>
    <cellStyle name="Comma 5 2" xfId="161" xr:uid="{00000000-0005-0000-0000-000075000000}"/>
    <cellStyle name="Comma 5 2 2" xfId="531" xr:uid="{00000000-0005-0000-0000-000076000000}"/>
    <cellStyle name="Comma 5 2 3" xfId="162" xr:uid="{00000000-0005-0000-0000-000077000000}"/>
    <cellStyle name="Comma 5 2 3 2" xfId="532" xr:uid="{00000000-0005-0000-0000-000078000000}"/>
    <cellStyle name="Comma 5 3" xfId="163" xr:uid="{00000000-0005-0000-0000-000079000000}"/>
    <cellStyle name="Comma 5 3 2" xfId="164" xr:uid="{00000000-0005-0000-0000-00007A000000}"/>
    <cellStyle name="Comma 5 3 3" xfId="533" xr:uid="{00000000-0005-0000-0000-00007B000000}"/>
    <cellStyle name="Comma 5 4" xfId="530" xr:uid="{00000000-0005-0000-0000-00007C000000}"/>
    <cellStyle name="Comma 6" xfId="40" xr:uid="{00000000-0005-0000-0000-00007D000000}"/>
    <cellStyle name="Comma 6 2" xfId="41" xr:uid="{00000000-0005-0000-0000-00007E000000}"/>
    <cellStyle name="Comma 6 3" xfId="42" xr:uid="{00000000-0005-0000-0000-00007F000000}"/>
    <cellStyle name="Comma 6 4" xfId="43" xr:uid="{00000000-0005-0000-0000-000080000000}"/>
    <cellStyle name="Comma 6 5" xfId="534" xr:uid="{00000000-0005-0000-0000-000081000000}"/>
    <cellStyle name="Comma 7" xfId="22" xr:uid="{00000000-0005-0000-0000-000082000000}"/>
    <cellStyle name="Comma 7 2" xfId="165" xr:uid="{00000000-0005-0000-0000-000083000000}"/>
    <cellStyle name="Comma 7 3" xfId="535" xr:uid="{00000000-0005-0000-0000-000084000000}"/>
    <cellStyle name="Comma 8" xfId="166" xr:uid="{00000000-0005-0000-0000-000085000000}"/>
    <cellStyle name="Comma 8 2" xfId="167" xr:uid="{00000000-0005-0000-0000-000086000000}"/>
    <cellStyle name="Comma 8 3" xfId="546" xr:uid="{00000000-0005-0000-0000-000087000000}"/>
    <cellStyle name="Comma 9" xfId="168" xr:uid="{00000000-0005-0000-0000-000088000000}"/>
    <cellStyle name="Comma_Bal sht 2005-06 25.08.06(TEST)" xfId="516" xr:uid="{00000000-0005-0000-0000-000089000000}"/>
    <cellStyle name="Comma0 - Style4" xfId="169" xr:uid="{00000000-0005-0000-0000-00008A000000}"/>
    <cellStyle name="Comma1 - Style1" xfId="170" xr:uid="{00000000-0005-0000-0000-00008B000000}"/>
    <cellStyle name="Curren - Style2" xfId="3" xr:uid="{00000000-0005-0000-0000-00008C000000}"/>
    <cellStyle name="Currency 2" xfId="171" xr:uid="{00000000-0005-0000-0000-00008D000000}"/>
    <cellStyle name="Currency 3" xfId="172" xr:uid="{00000000-0005-0000-0000-00008E000000}"/>
    <cellStyle name="Currency 4" xfId="173" xr:uid="{00000000-0005-0000-0000-00008F000000}"/>
    <cellStyle name="Custom - Style8" xfId="174" xr:uid="{00000000-0005-0000-0000-000090000000}"/>
    <cellStyle name="Data   - Style2" xfId="175" xr:uid="{00000000-0005-0000-0000-000091000000}"/>
    <cellStyle name="date" xfId="176" xr:uid="{00000000-0005-0000-0000-000092000000}"/>
    <cellStyle name="Euro" xfId="177" xr:uid="{00000000-0005-0000-0000-000093000000}"/>
    <cellStyle name="Euro 2" xfId="178" xr:uid="{00000000-0005-0000-0000-000094000000}"/>
    <cellStyle name="Euro 3" xfId="179" xr:uid="{00000000-0005-0000-0000-000095000000}"/>
    <cellStyle name="Euro 4" xfId="180" xr:uid="{00000000-0005-0000-0000-000096000000}"/>
    <cellStyle name="Euro 5" xfId="181" xr:uid="{00000000-0005-0000-0000-000097000000}"/>
    <cellStyle name="Excel Built-in Excel Built-in Excel Built-in Excel Built-in Excel Built-in Excel Built-in Excel Built-in Excel Built-in TableStyleLight1" xfId="182" xr:uid="{00000000-0005-0000-0000-000098000000}"/>
    <cellStyle name="Excel Built-in Normal" xfId="183" xr:uid="{00000000-0005-0000-0000-000099000000}"/>
    <cellStyle name="Excel Built-in Normal 2" xfId="184" xr:uid="{00000000-0005-0000-0000-00009A000000}"/>
    <cellStyle name="Explanatory Text 2" xfId="185" xr:uid="{00000000-0005-0000-0000-00009B000000}"/>
    <cellStyle name="Explanatory Text 3" xfId="186" xr:uid="{00000000-0005-0000-0000-00009C000000}"/>
    <cellStyle name="Fixed" xfId="187" xr:uid="{00000000-0005-0000-0000-00009D000000}"/>
    <cellStyle name="Fixed3 - Style3" xfId="188" xr:uid="{00000000-0005-0000-0000-00009E000000}"/>
    <cellStyle name="FORM" xfId="189" xr:uid="{00000000-0005-0000-0000-00009F000000}"/>
    <cellStyle name="fy" xfId="190" xr:uid="{00000000-0005-0000-0000-0000A0000000}"/>
    <cellStyle name="General" xfId="191" xr:uid="{00000000-0005-0000-0000-0000A1000000}"/>
    <cellStyle name="Good 2" xfId="192" xr:uid="{00000000-0005-0000-0000-0000A2000000}"/>
    <cellStyle name="Good 3" xfId="193" xr:uid="{00000000-0005-0000-0000-0000A3000000}"/>
    <cellStyle name="GrandTotal" xfId="194" xr:uid="{00000000-0005-0000-0000-0000A4000000}"/>
    <cellStyle name="Grey" xfId="4" xr:uid="{00000000-0005-0000-0000-0000A5000000}"/>
    <cellStyle name="Header" xfId="195" xr:uid="{00000000-0005-0000-0000-0000A6000000}"/>
    <cellStyle name="Header1" xfId="5" xr:uid="{00000000-0005-0000-0000-0000A7000000}"/>
    <cellStyle name="Header2" xfId="6" xr:uid="{00000000-0005-0000-0000-0000A8000000}"/>
    <cellStyle name="HEADIN - Style5" xfId="196" xr:uid="{00000000-0005-0000-0000-0000A9000000}"/>
    <cellStyle name="Heading 1 2" xfId="197" xr:uid="{00000000-0005-0000-0000-0000AA000000}"/>
    <cellStyle name="Heading 1 3" xfId="198" xr:uid="{00000000-0005-0000-0000-0000AB000000}"/>
    <cellStyle name="Heading 2 2" xfId="199" xr:uid="{00000000-0005-0000-0000-0000AC000000}"/>
    <cellStyle name="Heading 2 3" xfId="200" xr:uid="{00000000-0005-0000-0000-0000AD000000}"/>
    <cellStyle name="Heading 3 2" xfId="201" xr:uid="{00000000-0005-0000-0000-0000AE000000}"/>
    <cellStyle name="Heading 3 3" xfId="202" xr:uid="{00000000-0005-0000-0000-0000AF000000}"/>
    <cellStyle name="Heading 4 2" xfId="203" xr:uid="{00000000-0005-0000-0000-0000B0000000}"/>
    <cellStyle name="Heading 4 3" xfId="204" xr:uid="{00000000-0005-0000-0000-0000B1000000}"/>
    <cellStyle name="Heading1" xfId="205" xr:uid="{00000000-0005-0000-0000-0000B2000000}"/>
    <cellStyle name="Heading2" xfId="206" xr:uid="{00000000-0005-0000-0000-0000B3000000}"/>
    <cellStyle name="Hyperlink 2" xfId="207" xr:uid="{00000000-0005-0000-0000-0000B4000000}"/>
    <cellStyle name="Hyperlink 3" xfId="208" xr:uid="{00000000-0005-0000-0000-0000B5000000}"/>
    <cellStyle name="Indian Amount" xfId="209" xr:uid="{00000000-0005-0000-0000-0000B6000000}"/>
    <cellStyle name="Input [yellow]" xfId="7" xr:uid="{00000000-0005-0000-0000-0000B7000000}"/>
    <cellStyle name="Input 2" xfId="210" xr:uid="{00000000-0005-0000-0000-0000B8000000}"/>
    <cellStyle name="Input 3" xfId="211" xr:uid="{00000000-0005-0000-0000-0000B9000000}"/>
    <cellStyle name="INR" xfId="212" xr:uid="{00000000-0005-0000-0000-0000BA000000}"/>
    <cellStyle name="inr.ps" xfId="213" xr:uid="{00000000-0005-0000-0000-0000BB000000}"/>
    <cellStyle name="INR_UE&amp;PL_adv tax estimate ueepl  F.Y 08-09" xfId="214" xr:uid="{00000000-0005-0000-0000-0000BC000000}"/>
    <cellStyle name="INR-PS" xfId="215" xr:uid="{00000000-0005-0000-0000-0000BD000000}"/>
    <cellStyle name="Labels - Style3" xfId="216" xr:uid="{00000000-0005-0000-0000-0000BE000000}"/>
    <cellStyle name="Linked Cell 2" xfId="217" xr:uid="{00000000-0005-0000-0000-0000BF000000}"/>
    <cellStyle name="Linked Cell 3" xfId="218" xr:uid="{00000000-0005-0000-0000-0000C0000000}"/>
    <cellStyle name="Millares [0]_pldt" xfId="219" xr:uid="{00000000-0005-0000-0000-0000C1000000}"/>
    <cellStyle name="Millares_pldt" xfId="220" xr:uid="{00000000-0005-0000-0000-0000C2000000}"/>
    <cellStyle name="Milliers [0]_EDYAN" xfId="221" xr:uid="{00000000-0005-0000-0000-0000C3000000}"/>
    <cellStyle name="Milliers_EDYAN" xfId="222" xr:uid="{00000000-0005-0000-0000-0000C4000000}"/>
    <cellStyle name="Moneda [0]_pldt" xfId="223" xr:uid="{00000000-0005-0000-0000-0000C5000000}"/>
    <cellStyle name="Moneda_pldt" xfId="224" xr:uid="{00000000-0005-0000-0000-0000C6000000}"/>
    <cellStyle name="Monétaire [0]_EDYAN" xfId="225" xr:uid="{00000000-0005-0000-0000-0000C7000000}"/>
    <cellStyle name="Monétaire_EDYAN" xfId="226" xr:uid="{00000000-0005-0000-0000-0000C8000000}"/>
    <cellStyle name="Neutral 2" xfId="227" xr:uid="{00000000-0005-0000-0000-0000C9000000}"/>
    <cellStyle name="Neutral 3" xfId="228" xr:uid="{00000000-0005-0000-0000-0000CA000000}"/>
    <cellStyle name="no dec" xfId="8" xr:uid="{00000000-0005-0000-0000-0000CB000000}"/>
    <cellStyle name="no dec 2" xfId="229" xr:uid="{00000000-0005-0000-0000-0000CC000000}"/>
    <cellStyle name="no dec 3" xfId="230" xr:uid="{00000000-0005-0000-0000-0000CD000000}"/>
    <cellStyle name="no dec 4" xfId="231" xr:uid="{00000000-0005-0000-0000-0000CE000000}"/>
    <cellStyle name="no dec 5" xfId="232" xr:uid="{00000000-0005-0000-0000-0000CF000000}"/>
    <cellStyle name="no dec_Book3" xfId="233" xr:uid="{00000000-0005-0000-0000-0000D0000000}"/>
    <cellStyle name="Nor}al" xfId="234" xr:uid="{00000000-0005-0000-0000-0000D1000000}"/>
    <cellStyle name="Nor}al 2" xfId="235" xr:uid="{00000000-0005-0000-0000-0000D2000000}"/>
    <cellStyle name="Nor}al 3" xfId="236" xr:uid="{00000000-0005-0000-0000-0000D3000000}"/>
    <cellStyle name="Nor}al_Book3" xfId="237" xr:uid="{00000000-0005-0000-0000-0000D4000000}"/>
    <cellStyle name="Normal" xfId="0" builtinId="0"/>
    <cellStyle name="Normal - Style1" xfId="9" xr:uid="{00000000-0005-0000-0000-0000D6000000}"/>
    <cellStyle name="Normal - Style1 2" xfId="239" xr:uid="{00000000-0005-0000-0000-0000D7000000}"/>
    <cellStyle name="Normal - Style1 3" xfId="240" xr:uid="{00000000-0005-0000-0000-0000D8000000}"/>
    <cellStyle name="Normal - Style1 4" xfId="241" xr:uid="{00000000-0005-0000-0000-0000D9000000}"/>
    <cellStyle name="Normal - Style1 5" xfId="242" xr:uid="{00000000-0005-0000-0000-0000DA000000}"/>
    <cellStyle name="Normal - Style1_Book3" xfId="243" xr:uid="{00000000-0005-0000-0000-0000DB000000}"/>
    <cellStyle name="Normal 10" xfId="66" xr:uid="{00000000-0005-0000-0000-0000DC000000}"/>
    <cellStyle name="Normal 10 2" xfId="244" xr:uid="{00000000-0005-0000-0000-0000DD000000}"/>
    <cellStyle name="Normal 10 2 2" xfId="517" xr:uid="{00000000-0005-0000-0000-0000DE000000}"/>
    <cellStyle name="Normal 10 2 2 2" xfId="555" xr:uid="{00000000-0005-0000-0000-0000DF000000}"/>
    <cellStyle name="Normal 10 2 3" xfId="550" xr:uid="{00000000-0005-0000-0000-0000E0000000}"/>
    <cellStyle name="Normal 10 2 4" xfId="553" xr:uid="{00000000-0005-0000-0000-0000E1000000}"/>
    <cellStyle name="Normal 10 3" xfId="245" xr:uid="{00000000-0005-0000-0000-0000E2000000}"/>
    <cellStyle name="Normal 100" xfId="246" xr:uid="{00000000-0005-0000-0000-0000E3000000}"/>
    <cellStyle name="Normal 101" xfId="247" xr:uid="{00000000-0005-0000-0000-0000E4000000}"/>
    <cellStyle name="Normal 102" xfId="248" xr:uid="{00000000-0005-0000-0000-0000E5000000}"/>
    <cellStyle name="Normal 103" xfId="249" xr:uid="{00000000-0005-0000-0000-0000E6000000}"/>
    <cellStyle name="Normal 104" xfId="250" xr:uid="{00000000-0005-0000-0000-0000E7000000}"/>
    <cellStyle name="Normal 105" xfId="251" xr:uid="{00000000-0005-0000-0000-0000E8000000}"/>
    <cellStyle name="Normal 106" xfId="252" xr:uid="{00000000-0005-0000-0000-0000E9000000}"/>
    <cellStyle name="Normal 106 2" xfId="253" xr:uid="{00000000-0005-0000-0000-0000EA000000}"/>
    <cellStyle name="Normal 107" xfId="254" xr:uid="{00000000-0005-0000-0000-0000EB000000}"/>
    <cellStyle name="Normal 108" xfId="255" xr:uid="{00000000-0005-0000-0000-0000EC000000}"/>
    <cellStyle name="Normal 109" xfId="256" xr:uid="{00000000-0005-0000-0000-0000ED000000}"/>
    <cellStyle name="Normal 109 2" xfId="257" xr:uid="{00000000-0005-0000-0000-0000EE000000}"/>
    <cellStyle name="Normal 11" xfId="258" xr:uid="{00000000-0005-0000-0000-0000EF000000}"/>
    <cellStyle name="Normal 11 2" xfId="259" xr:uid="{00000000-0005-0000-0000-0000F0000000}"/>
    <cellStyle name="Normal 11_Sept9-10 4.4" xfId="260" xr:uid="{00000000-0005-0000-0000-0000F1000000}"/>
    <cellStyle name="Normal 110" xfId="261" xr:uid="{00000000-0005-0000-0000-0000F2000000}"/>
    <cellStyle name="Normal 111" xfId="262" xr:uid="{00000000-0005-0000-0000-0000F3000000}"/>
    <cellStyle name="Normal 112" xfId="263" xr:uid="{00000000-0005-0000-0000-0000F4000000}"/>
    <cellStyle name="Normal 113" xfId="264" xr:uid="{00000000-0005-0000-0000-0000F5000000}"/>
    <cellStyle name="Normal 114" xfId="265" xr:uid="{00000000-0005-0000-0000-0000F6000000}"/>
    <cellStyle name="Normal 115" xfId="266" xr:uid="{00000000-0005-0000-0000-0000F7000000}"/>
    <cellStyle name="Normal 116" xfId="519" xr:uid="{00000000-0005-0000-0000-0000F8000000}"/>
    <cellStyle name="Normal 117" xfId="522" xr:uid="{00000000-0005-0000-0000-0000F9000000}"/>
    <cellStyle name="Normal 117 2" xfId="556" xr:uid="{00000000-0005-0000-0000-0000FA000000}"/>
    <cellStyle name="Normal 118" xfId="545" xr:uid="{00000000-0005-0000-0000-0000FB000000}"/>
    <cellStyle name="Normal 12" xfId="267" xr:uid="{00000000-0005-0000-0000-0000FC000000}"/>
    <cellStyle name="Normal 12 2" xfId="268" xr:uid="{00000000-0005-0000-0000-0000FD000000}"/>
    <cellStyle name="Normal 12 3" xfId="269" xr:uid="{00000000-0005-0000-0000-0000FE000000}"/>
    <cellStyle name="Normal 12 3 2" xfId="558" xr:uid="{00000000-0005-0000-0000-0000FF000000}"/>
    <cellStyle name="Normal 13" xfId="270" xr:uid="{00000000-0005-0000-0000-000000010000}"/>
    <cellStyle name="Normal 14" xfId="271" xr:uid="{00000000-0005-0000-0000-000001010000}"/>
    <cellStyle name="Normal 15" xfId="19" xr:uid="{00000000-0005-0000-0000-000002010000}"/>
    <cellStyle name="Normal 15 2" xfId="272" xr:uid="{00000000-0005-0000-0000-000003010000}"/>
    <cellStyle name="Normal 16" xfId="273" xr:uid="{00000000-0005-0000-0000-000004010000}"/>
    <cellStyle name="Normal 16 2" xfId="274" xr:uid="{00000000-0005-0000-0000-000005010000}"/>
    <cellStyle name="Normal 16 3" xfId="275" xr:uid="{00000000-0005-0000-0000-000006010000}"/>
    <cellStyle name="Normal 16 3 2" xfId="276" xr:uid="{00000000-0005-0000-0000-000007010000}"/>
    <cellStyle name="Normal 16 3 2 2" xfId="277" xr:uid="{00000000-0005-0000-0000-000008010000}"/>
    <cellStyle name="Normal 16 3 2 2 2" xfId="278" xr:uid="{00000000-0005-0000-0000-000009010000}"/>
    <cellStyle name="Normal 17" xfId="279" xr:uid="{00000000-0005-0000-0000-00000A010000}"/>
    <cellStyle name="Normal 17 2" xfId="280" xr:uid="{00000000-0005-0000-0000-00000B010000}"/>
    <cellStyle name="Normal 18" xfId="281" xr:uid="{00000000-0005-0000-0000-00000C010000}"/>
    <cellStyle name="Normal 19" xfId="282" xr:uid="{00000000-0005-0000-0000-00000D010000}"/>
    <cellStyle name="Normal 2" xfId="10" xr:uid="{00000000-0005-0000-0000-00000E010000}"/>
    <cellStyle name="Normal 2 10" xfId="283" xr:uid="{00000000-0005-0000-0000-00000F010000}"/>
    <cellStyle name="Normal 2 11" xfId="284" xr:uid="{00000000-0005-0000-0000-000010010000}"/>
    <cellStyle name="Normal 2 12" xfId="285" xr:uid="{00000000-0005-0000-0000-000011010000}"/>
    <cellStyle name="Normal 2 2" xfId="11" xr:uid="{00000000-0005-0000-0000-000012010000}"/>
    <cellStyle name="Normal 2 2 2" xfId="27" xr:uid="{00000000-0005-0000-0000-000013010000}"/>
    <cellStyle name="Normal 2 2 2 2" xfId="59" xr:uid="{00000000-0005-0000-0000-000014010000}"/>
    <cellStyle name="Normal 2 2 3" xfId="286" xr:uid="{00000000-0005-0000-0000-000015010000}"/>
    <cellStyle name="Normal 2 2 4" xfId="287" xr:uid="{00000000-0005-0000-0000-000016010000}"/>
    <cellStyle name="Normal 2 2_Working APR 2007-08 Mahagenco_Bhushan_1.3" xfId="44" xr:uid="{00000000-0005-0000-0000-000017010000}"/>
    <cellStyle name="Normal 2 3" xfId="12" xr:uid="{00000000-0005-0000-0000-000018010000}"/>
    <cellStyle name="Normal 2 3 2" xfId="288" xr:uid="{00000000-0005-0000-0000-000019010000}"/>
    <cellStyle name="Normal 2 3 3" xfId="289" xr:uid="{00000000-0005-0000-0000-00001A010000}"/>
    <cellStyle name="Normal 2 3 4" xfId="290" xr:uid="{00000000-0005-0000-0000-00001B010000}"/>
    <cellStyle name="Normal 2 3 4 2" xfId="291" xr:uid="{00000000-0005-0000-0000-00001C010000}"/>
    <cellStyle name="Normal 2 3 5" xfId="536" xr:uid="{00000000-0005-0000-0000-00001D010000}"/>
    <cellStyle name="Normal 2 4" xfId="45" xr:uid="{00000000-0005-0000-0000-00001E010000}"/>
    <cellStyle name="Normal 2 4 2" xfId="292" xr:uid="{00000000-0005-0000-0000-00001F010000}"/>
    <cellStyle name="Normal 2 4 3" xfId="537" xr:uid="{00000000-0005-0000-0000-000020010000}"/>
    <cellStyle name="Normal 2 5" xfId="293" xr:uid="{00000000-0005-0000-0000-000021010000}"/>
    <cellStyle name="Normal 2 6" xfId="294" xr:uid="{00000000-0005-0000-0000-000022010000}"/>
    <cellStyle name="Normal 2 7" xfId="295" xr:uid="{00000000-0005-0000-0000-000023010000}"/>
    <cellStyle name="Normal 2 8" xfId="296" xr:uid="{00000000-0005-0000-0000-000024010000}"/>
    <cellStyle name="Normal 2 9" xfId="297" xr:uid="{00000000-0005-0000-0000-000025010000}"/>
    <cellStyle name="Normal 2_ARR FINAL" xfId="46" xr:uid="{00000000-0005-0000-0000-000026010000}"/>
    <cellStyle name="Normal 20" xfId="298" xr:uid="{00000000-0005-0000-0000-000027010000}"/>
    <cellStyle name="Normal 20 2" xfId="299" xr:uid="{00000000-0005-0000-0000-000028010000}"/>
    <cellStyle name="Normal 20 2 2" xfId="300" xr:uid="{00000000-0005-0000-0000-000029010000}"/>
    <cellStyle name="Normal 21" xfId="301" xr:uid="{00000000-0005-0000-0000-00002A010000}"/>
    <cellStyle name="Normal 22" xfId="302" xr:uid="{00000000-0005-0000-0000-00002B010000}"/>
    <cellStyle name="Normal 23" xfId="303" xr:uid="{00000000-0005-0000-0000-00002C010000}"/>
    <cellStyle name="Normal 24" xfId="304" xr:uid="{00000000-0005-0000-0000-00002D010000}"/>
    <cellStyle name="Normal 25" xfId="305" xr:uid="{00000000-0005-0000-0000-00002E010000}"/>
    <cellStyle name="Normal 26" xfId="306" xr:uid="{00000000-0005-0000-0000-00002F010000}"/>
    <cellStyle name="Normal 27" xfId="307" xr:uid="{00000000-0005-0000-0000-000030010000}"/>
    <cellStyle name="Normal 28" xfId="308" xr:uid="{00000000-0005-0000-0000-000031010000}"/>
    <cellStyle name="Normal 29" xfId="309" xr:uid="{00000000-0005-0000-0000-000032010000}"/>
    <cellStyle name="Normal 3" xfId="13" xr:uid="{00000000-0005-0000-0000-000033010000}"/>
    <cellStyle name="Normal 3 2" xfId="28" xr:uid="{00000000-0005-0000-0000-000034010000}"/>
    <cellStyle name="Normal 3 2 2" xfId="60" xr:uid="{00000000-0005-0000-0000-000035010000}"/>
    <cellStyle name="Normal 3 2 3" xfId="310" xr:uid="{00000000-0005-0000-0000-000036010000}"/>
    <cellStyle name="Normal 3 3" xfId="311" xr:uid="{00000000-0005-0000-0000-000037010000}"/>
    <cellStyle name="Normal 3 3 2" xfId="312" xr:uid="{00000000-0005-0000-0000-000038010000}"/>
    <cellStyle name="Normal 3 4" xfId="313" xr:uid="{00000000-0005-0000-0000-000039010000}"/>
    <cellStyle name="Normal 30" xfId="314" xr:uid="{00000000-0005-0000-0000-00003A010000}"/>
    <cellStyle name="Normal 31" xfId="315" xr:uid="{00000000-0005-0000-0000-00003B010000}"/>
    <cellStyle name="Normal 32" xfId="316" xr:uid="{00000000-0005-0000-0000-00003C010000}"/>
    <cellStyle name="Normal 33" xfId="317" xr:uid="{00000000-0005-0000-0000-00003D010000}"/>
    <cellStyle name="Normal 33 2" xfId="318" xr:uid="{00000000-0005-0000-0000-00003E010000}"/>
    <cellStyle name="Normal 34" xfId="319" xr:uid="{00000000-0005-0000-0000-00003F010000}"/>
    <cellStyle name="Normal 35" xfId="320" xr:uid="{00000000-0005-0000-0000-000040010000}"/>
    <cellStyle name="Normal 36" xfId="321" xr:uid="{00000000-0005-0000-0000-000041010000}"/>
    <cellStyle name="Normal 37" xfId="322" xr:uid="{00000000-0005-0000-0000-000042010000}"/>
    <cellStyle name="Normal 38" xfId="323" xr:uid="{00000000-0005-0000-0000-000043010000}"/>
    <cellStyle name="Normal 39" xfId="23" xr:uid="{00000000-0005-0000-0000-000044010000}"/>
    <cellStyle name="Normal 4" xfId="29" xr:uid="{00000000-0005-0000-0000-000045010000}"/>
    <cellStyle name="Normal 4 2" xfId="61" xr:uid="{00000000-0005-0000-0000-000046010000}"/>
    <cellStyle name="Normal 4 3" xfId="324" xr:uid="{00000000-0005-0000-0000-000047010000}"/>
    <cellStyle name="Normal 40" xfId="325" xr:uid="{00000000-0005-0000-0000-000048010000}"/>
    <cellStyle name="Normal 41" xfId="326" xr:uid="{00000000-0005-0000-0000-000049010000}"/>
    <cellStyle name="Normal 42" xfId="327" xr:uid="{00000000-0005-0000-0000-00004A010000}"/>
    <cellStyle name="Normal 43" xfId="328" xr:uid="{00000000-0005-0000-0000-00004B010000}"/>
    <cellStyle name="Normal 44" xfId="329" xr:uid="{00000000-0005-0000-0000-00004C010000}"/>
    <cellStyle name="Normal 45" xfId="330" xr:uid="{00000000-0005-0000-0000-00004D010000}"/>
    <cellStyle name="Normal 46" xfId="331" xr:uid="{00000000-0005-0000-0000-00004E010000}"/>
    <cellStyle name="Normal 47" xfId="332" xr:uid="{00000000-0005-0000-0000-00004F010000}"/>
    <cellStyle name="Normal 48" xfId="333" xr:uid="{00000000-0005-0000-0000-000050010000}"/>
    <cellStyle name="Normal 49" xfId="334" xr:uid="{00000000-0005-0000-0000-000051010000}"/>
    <cellStyle name="Normal 5" xfId="30" xr:uid="{00000000-0005-0000-0000-000052010000}"/>
    <cellStyle name="Normal 5 2" xfId="47" xr:uid="{00000000-0005-0000-0000-000053010000}"/>
    <cellStyle name="Normal 5 2 2" xfId="539" xr:uid="{00000000-0005-0000-0000-000054010000}"/>
    <cellStyle name="Normal 5 3" xfId="335" xr:uid="{00000000-0005-0000-0000-000055010000}"/>
    <cellStyle name="Normal 5 3 2" xfId="336" xr:uid="{00000000-0005-0000-0000-000056010000}"/>
    <cellStyle name="Normal 5 3 2 2" xfId="337" xr:uid="{00000000-0005-0000-0000-000057010000}"/>
    <cellStyle name="Normal 5 3 2 2 2" xfId="338" xr:uid="{00000000-0005-0000-0000-000058010000}"/>
    <cellStyle name="Normal 5 4" xfId="538" xr:uid="{00000000-0005-0000-0000-000059010000}"/>
    <cellStyle name="Normal 50" xfId="339" xr:uid="{00000000-0005-0000-0000-00005A010000}"/>
    <cellStyle name="Normal 51" xfId="340" xr:uid="{00000000-0005-0000-0000-00005B010000}"/>
    <cellStyle name="Normal 52" xfId="341" xr:uid="{00000000-0005-0000-0000-00005C010000}"/>
    <cellStyle name="Normal 53" xfId="342" xr:uid="{00000000-0005-0000-0000-00005D010000}"/>
    <cellStyle name="Normal 54" xfId="343" xr:uid="{00000000-0005-0000-0000-00005E010000}"/>
    <cellStyle name="Normal 55" xfId="344" xr:uid="{00000000-0005-0000-0000-00005F010000}"/>
    <cellStyle name="Normal 56" xfId="345" xr:uid="{00000000-0005-0000-0000-000060010000}"/>
    <cellStyle name="Normal 57" xfId="346" xr:uid="{00000000-0005-0000-0000-000061010000}"/>
    <cellStyle name="Normal 58" xfId="347" xr:uid="{00000000-0005-0000-0000-000062010000}"/>
    <cellStyle name="Normal 59" xfId="348" xr:uid="{00000000-0005-0000-0000-000063010000}"/>
    <cellStyle name="Normal 6" xfId="31" xr:uid="{00000000-0005-0000-0000-000064010000}"/>
    <cellStyle name="Normal 6 2" xfId="349" xr:uid="{00000000-0005-0000-0000-000065010000}"/>
    <cellStyle name="Normal 6 3" xfId="540" xr:uid="{00000000-0005-0000-0000-000066010000}"/>
    <cellStyle name="Normal 60" xfId="350" xr:uid="{00000000-0005-0000-0000-000067010000}"/>
    <cellStyle name="Normal 61" xfId="351" xr:uid="{00000000-0005-0000-0000-000068010000}"/>
    <cellStyle name="Normal 62" xfId="352" xr:uid="{00000000-0005-0000-0000-000069010000}"/>
    <cellStyle name="Normal 63" xfId="353" xr:uid="{00000000-0005-0000-0000-00006A010000}"/>
    <cellStyle name="Normal 64" xfId="354" xr:uid="{00000000-0005-0000-0000-00006B010000}"/>
    <cellStyle name="Normal 65" xfId="355" xr:uid="{00000000-0005-0000-0000-00006C010000}"/>
    <cellStyle name="Normal 66" xfId="356" xr:uid="{00000000-0005-0000-0000-00006D010000}"/>
    <cellStyle name="Normal 67" xfId="357" xr:uid="{00000000-0005-0000-0000-00006E010000}"/>
    <cellStyle name="Normal 68" xfId="358" xr:uid="{00000000-0005-0000-0000-00006F010000}"/>
    <cellStyle name="Normal 69" xfId="359" xr:uid="{00000000-0005-0000-0000-000070010000}"/>
    <cellStyle name="Normal 7" xfId="32" xr:uid="{00000000-0005-0000-0000-000071010000}"/>
    <cellStyle name="Normal 7 10" xfId="360" xr:uid="{00000000-0005-0000-0000-000072010000}"/>
    <cellStyle name="Normal 7 2" xfId="361" xr:uid="{00000000-0005-0000-0000-000073010000}"/>
    <cellStyle name="Normal 7 3" xfId="541" xr:uid="{00000000-0005-0000-0000-000074010000}"/>
    <cellStyle name="Normal 70" xfId="362" xr:uid="{00000000-0005-0000-0000-000075010000}"/>
    <cellStyle name="Normal 71" xfId="363" xr:uid="{00000000-0005-0000-0000-000076010000}"/>
    <cellStyle name="Normal 72" xfId="364" xr:uid="{00000000-0005-0000-0000-000077010000}"/>
    <cellStyle name="Normal 73" xfId="365" xr:uid="{00000000-0005-0000-0000-000078010000}"/>
    <cellStyle name="Normal 74" xfId="366" xr:uid="{00000000-0005-0000-0000-000079010000}"/>
    <cellStyle name="Normal 75" xfId="367" xr:uid="{00000000-0005-0000-0000-00007A010000}"/>
    <cellStyle name="Normal 76" xfId="368" xr:uid="{00000000-0005-0000-0000-00007B010000}"/>
    <cellStyle name="Normal 77" xfId="369" xr:uid="{00000000-0005-0000-0000-00007C010000}"/>
    <cellStyle name="Normal 78" xfId="370" xr:uid="{00000000-0005-0000-0000-00007D010000}"/>
    <cellStyle name="Normal 79" xfId="371" xr:uid="{00000000-0005-0000-0000-00007E010000}"/>
    <cellStyle name="Normal 8" xfId="33" xr:uid="{00000000-0005-0000-0000-00007F010000}"/>
    <cellStyle name="Normal 8 10" xfId="372" xr:uid="{00000000-0005-0000-0000-000080010000}"/>
    <cellStyle name="Normal 8 2" xfId="373" xr:uid="{00000000-0005-0000-0000-000081010000}"/>
    <cellStyle name="Normal 8 3" xfId="542" xr:uid="{00000000-0005-0000-0000-000082010000}"/>
    <cellStyle name="Normal 80" xfId="374" xr:uid="{00000000-0005-0000-0000-000083010000}"/>
    <cellStyle name="Normal 81" xfId="375" xr:uid="{00000000-0005-0000-0000-000084010000}"/>
    <cellStyle name="Normal 82" xfId="376" xr:uid="{00000000-0005-0000-0000-000085010000}"/>
    <cellStyle name="Normal 83" xfId="377" xr:uid="{00000000-0005-0000-0000-000086010000}"/>
    <cellStyle name="Normal 84" xfId="378" xr:uid="{00000000-0005-0000-0000-000087010000}"/>
    <cellStyle name="Normal 85" xfId="379" xr:uid="{00000000-0005-0000-0000-000088010000}"/>
    <cellStyle name="Normal 86" xfId="380" xr:uid="{00000000-0005-0000-0000-000089010000}"/>
    <cellStyle name="Normal 87" xfId="381" xr:uid="{00000000-0005-0000-0000-00008A010000}"/>
    <cellStyle name="Normal 88" xfId="382" xr:uid="{00000000-0005-0000-0000-00008B010000}"/>
    <cellStyle name="Normal 89" xfId="383" xr:uid="{00000000-0005-0000-0000-00008C010000}"/>
    <cellStyle name="Normal 9" xfId="25" xr:uid="{00000000-0005-0000-0000-00008D010000}"/>
    <cellStyle name="Normal 9 2" xfId="384" xr:uid="{00000000-0005-0000-0000-00008E010000}"/>
    <cellStyle name="Normal 9 3" xfId="543" xr:uid="{00000000-0005-0000-0000-00008F010000}"/>
    <cellStyle name="Normal 90" xfId="385" xr:uid="{00000000-0005-0000-0000-000090010000}"/>
    <cellStyle name="Normal 91" xfId="386" xr:uid="{00000000-0005-0000-0000-000091010000}"/>
    <cellStyle name="Normal 92" xfId="387" xr:uid="{00000000-0005-0000-0000-000092010000}"/>
    <cellStyle name="Normal 93" xfId="388" xr:uid="{00000000-0005-0000-0000-000093010000}"/>
    <cellStyle name="Normal 94" xfId="389" xr:uid="{00000000-0005-0000-0000-000094010000}"/>
    <cellStyle name="Normal 95" xfId="390" xr:uid="{00000000-0005-0000-0000-000095010000}"/>
    <cellStyle name="Normal 96" xfId="391" xr:uid="{00000000-0005-0000-0000-000096010000}"/>
    <cellStyle name="Normal 97" xfId="392" xr:uid="{00000000-0005-0000-0000-000097010000}"/>
    <cellStyle name="Normal 98" xfId="393" xr:uid="{00000000-0005-0000-0000-000098010000}"/>
    <cellStyle name="Normal 99" xfId="394" xr:uid="{00000000-0005-0000-0000-000099010000}"/>
    <cellStyle name="Normal_FORMATS 5 YEAR ALOKE" xfId="34" xr:uid="{00000000-0005-0000-0000-00009A010000}"/>
    <cellStyle name="Normal_FORMATS 5 YEAR ALOKE 2" xfId="14" xr:uid="{00000000-0005-0000-0000-00009B010000}"/>
    <cellStyle name="Normal_FORMATS 5 YEAR ALOKE 2 2" xfId="63" xr:uid="{00000000-0005-0000-0000-00009C010000}"/>
    <cellStyle name="Normal_FORMATS 5 YEAR ALOKE 3 2" xfId="15" xr:uid="{00000000-0005-0000-0000-00009D010000}"/>
    <cellStyle name="Normaᳬ_SYSFRQᷔ1" xfId="238" xr:uid="{00000000-0005-0000-0000-00009E010000}"/>
    <cellStyle name="Norửal_SYSFRQT2" xfId="395" xr:uid="{00000000-0005-0000-0000-00009F010000}"/>
    <cellStyle name="Note 2" xfId="396" xr:uid="{00000000-0005-0000-0000-0000A0010000}"/>
    <cellStyle name="Note 3" xfId="397" xr:uid="{00000000-0005-0000-0000-0000A1010000}"/>
    <cellStyle name="number" xfId="398" xr:uid="{00000000-0005-0000-0000-0000A2010000}"/>
    <cellStyle name="Old values" xfId="399" xr:uid="{00000000-0005-0000-0000-0000A3010000}"/>
    <cellStyle name="Output 2" xfId="400" xr:uid="{00000000-0005-0000-0000-0000A4010000}"/>
    <cellStyle name="Output 3" xfId="401" xr:uid="{00000000-0005-0000-0000-0000A5010000}"/>
    <cellStyle name="Percen - Style2" xfId="402" xr:uid="{00000000-0005-0000-0000-0000A6010000}"/>
    <cellStyle name="Percent" xfId="65" builtinId="5"/>
    <cellStyle name="Percent [0]_#6 Temps &amp; Contractors" xfId="16" xr:uid="{00000000-0005-0000-0000-0000A8010000}"/>
    <cellStyle name="Percent [2]" xfId="17" xr:uid="{00000000-0005-0000-0000-0000A9010000}"/>
    <cellStyle name="Percent [2] 2" xfId="403" xr:uid="{00000000-0005-0000-0000-0000AA010000}"/>
    <cellStyle name="Percent [2] 3" xfId="404" xr:uid="{00000000-0005-0000-0000-0000AB010000}"/>
    <cellStyle name="Percent [2] 4" xfId="405" xr:uid="{00000000-0005-0000-0000-0000AC010000}"/>
    <cellStyle name="Percent [2] 5" xfId="406" xr:uid="{00000000-0005-0000-0000-0000AD010000}"/>
    <cellStyle name="Percent 10" xfId="407" xr:uid="{00000000-0005-0000-0000-0000AE010000}"/>
    <cellStyle name="Percent 11" xfId="408" xr:uid="{00000000-0005-0000-0000-0000AF010000}"/>
    <cellStyle name="Percent 12" xfId="409" xr:uid="{00000000-0005-0000-0000-0000B0010000}"/>
    <cellStyle name="Percent 13" xfId="410" xr:uid="{00000000-0005-0000-0000-0000B1010000}"/>
    <cellStyle name="Percent 14" xfId="411" xr:uid="{00000000-0005-0000-0000-0000B2010000}"/>
    <cellStyle name="Percent 15" xfId="412" xr:uid="{00000000-0005-0000-0000-0000B3010000}"/>
    <cellStyle name="Percent 16" xfId="521" xr:uid="{00000000-0005-0000-0000-0000B4010000}"/>
    <cellStyle name="Percent 17" xfId="549" xr:uid="{00000000-0005-0000-0000-0000B5010000}"/>
    <cellStyle name="Percent 18" xfId="552" xr:uid="{00000000-0005-0000-0000-0000B6010000}"/>
    <cellStyle name="Percent 19" xfId="554" xr:uid="{00000000-0005-0000-0000-0000B7010000}"/>
    <cellStyle name="Percent 2" xfId="48" xr:uid="{00000000-0005-0000-0000-0000B8010000}"/>
    <cellStyle name="Percent 2 10" xfId="413" xr:uid="{00000000-0005-0000-0000-0000B9010000}"/>
    <cellStyle name="Percent 2 11" xfId="414" xr:uid="{00000000-0005-0000-0000-0000BA010000}"/>
    <cellStyle name="Percent 2 12" xfId="415" xr:uid="{00000000-0005-0000-0000-0000BB010000}"/>
    <cellStyle name="Percent 2 2" xfId="49" xr:uid="{00000000-0005-0000-0000-0000BC010000}"/>
    <cellStyle name="Percent 2 3" xfId="62" xr:uid="{00000000-0005-0000-0000-0000BD010000}"/>
    <cellStyle name="Percent 2 4" xfId="416" xr:uid="{00000000-0005-0000-0000-0000BE010000}"/>
    <cellStyle name="Percent 2 5" xfId="417" xr:uid="{00000000-0005-0000-0000-0000BF010000}"/>
    <cellStyle name="Percent 2 6" xfId="418" xr:uid="{00000000-0005-0000-0000-0000C0010000}"/>
    <cellStyle name="Percent 2 7" xfId="419" xr:uid="{00000000-0005-0000-0000-0000C1010000}"/>
    <cellStyle name="Percent 2 8" xfId="420" xr:uid="{00000000-0005-0000-0000-0000C2010000}"/>
    <cellStyle name="Percent 2 9" xfId="421" xr:uid="{00000000-0005-0000-0000-0000C3010000}"/>
    <cellStyle name="Percent 3" xfId="50" xr:uid="{00000000-0005-0000-0000-0000C4010000}"/>
    <cellStyle name="Percent 3 2" xfId="51" xr:uid="{00000000-0005-0000-0000-0000C5010000}"/>
    <cellStyle name="Percent 4" xfId="24" xr:uid="{00000000-0005-0000-0000-0000C6010000}"/>
    <cellStyle name="Percent 4 2" xfId="422" xr:uid="{00000000-0005-0000-0000-0000C7010000}"/>
    <cellStyle name="Percent 4 3" xfId="547" xr:uid="{00000000-0005-0000-0000-0000C8010000}"/>
    <cellStyle name="Percent 41" xfId="21" xr:uid="{00000000-0005-0000-0000-0000C9010000}"/>
    <cellStyle name="Percent 41 2" xfId="423" xr:uid="{00000000-0005-0000-0000-0000CA010000}"/>
    <cellStyle name="Percent 41 2 2" xfId="518" xr:uid="{00000000-0005-0000-0000-0000CB010000}"/>
    <cellStyle name="Percent 5" xfId="52" xr:uid="{00000000-0005-0000-0000-0000CC010000}"/>
    <cellStyle name="Percent 5 2" xfId="53" xr:uid="{00000000-0005-0000-0000-0000CD010000}"/>
    <cellStyle name="Percent 5 2 2" xfId="424" xr:uid="{00000000-0005-0000-0000-0000CE010000}"/>
    <cellStyle name="Percent 5 2 2 2" xfId="425" xr:uid="{00000000-0005-0000-0000-0000CF010000}"/>
    <cellStyle name="Percent 5 2 2 2 2" xfId="426" xr:uid="{00000000-0005-0000-0000-0000D0010000}"/>
    <cellStyle name="Percent 5 3" xfId="54" xr:uid="{00000000-0005-0000-0000-0000D1010000}"/>
    <cellStyle name="Percent 6" xfId="55" xr:uid="{00000000-0005-0000-0000-0000D2010000}"/>
    <cellStyle name="Percent 6 2" xfId="56" xr:uid="{00000000-0005-0000-0000-0000D3010000}"/>
    <cellStyle name="Percent 7" xfId="427" xr:uid="{00000000-0005-0000-0000-0000D4010000}"/>
    <cellStyle name="Percent 7 2" xfId="428" xr:uid="{00000000-0005-0000-0000-0000D5010000}"/>
    <cellStyle name="Percent 8" xfId="429" xr:uid="{00000000-0005-0000-0000-0000D6010000}"/>
    <cellStyle name="Percent 9" xfId="430" xr:uid="{00000000-0005-0000-0000-0000D7010000}"/>
    <cellStyle name="Percent 9 2" xfId="431" xr:uid="{00000000-0005-0000-0000-0000D8010000}"/>
    <cellStyle name="Reset  - Style7" xfId="432" xr:uid="{00000000-0005-0000-0000-0000D9010000}"/>
    <cellStyle name="Result 1" xfId="433" xr:uid="{00000000-0005-0000-0000-0000DA010000}"/>
    <cellStyle name="Result 2" xfId="434" xr:uid="{00000000-0005-0000-0000-0000DB010000}"/>
    <cellStyle name="Result 3" xfId="435" xr:uid="{00000000-0005-0000-0000-0000DC010000}"/>
    <cellStyle name="Result 4" xfId="436" xr:uid="{00000000-0005-0000-0000-0000DD010000}"/>
    <cellStyle name="Result 5" xfId="437" xr:uid="{00000000-0005-0000-0000-0000DE010000}"/>
    <cellStyle name="Result 6" xfId="438" xr:uid="{00000000-0005-0000-0000-0000DF010000}"/>
    <cellStyle name="Row_Level2" xfId="439" xr:uid="{00000000-0005-0000-0000-0000E0010000}"/>
    <cellStyle name="Rs" xfId="440" xr:uid="{00000000-0005-0000-0000-0000E1010000}"/>
    <cellStyle name="RS (000)" xfId="441" xr:uid="{00000000-0005-0000-0000-0000E2010000}"/>
    <cellStyle name="SAPBEXaggData" xfId="442" xr:uid="{00000000-0005-0000-0000-0000E3010000}"/>
    <cellStyle name="SAPBEXaggDataEmph" xfId="443" xr:uid="{00000000-0005-0000-0000-0000E4010000}"/>
    <cellStyle name="SAPBEXaggItem" xfId="444" xr:uid="{00000000-0005-0000-0000-0000E5010000}"/>
    <cellStyle name="SAPBEXaggItemX" xfId="445" xr:uid="{00000000-0005-0000-0000-0000E6010000}"/>
    <cellStyle name="SAPBEXchaText" xfId="446" xr:uid="{00000000-0005-0000-0000-0000E7010000}"/>
    <cellStyle name="SAPBEXexcBad7" xfId="447" xr:uid="{00000000-0005-0000-0000-0000E8010000}"/>
    <cellStyle name="SAPBEXexcBad8" xfId="448" xr:uid="{00000000-0005-0000-0000-0000E9010000}"/>
    <cellStyle name="SAPBEXexcBad9" xfId="449" xr:uid="{00000000-0005-0000-0000-0000EA010000}"/>
    <cellStyle name="SAPBEXexcCritical4" xfId="450" xr:uid="{00000000-0005-0000-0000-0000EB010000}"/>
    <cellStyle name="SAPBEXexcCritical5" xfId="451" xr:uid="{00000000-0005-0000-0000-0000EC010000}"/>
    <cellStyle name="SAPBEXexcCritical6" xfId="452" xr:uid="{00000000-0005-0000-0000-0000ED010000}"/>
    <cellStyle name="SAPBEXexcGood1" xfId="453" xr:uid="{00000000-0005-0000-0000-0000EE010000}"/>
    <cellStyle name="SAPBEXexcGood2" xfId="454" xr:uid="{00000000-0005-0000-0000-0000EF010000}"/>
    <cellStyle name="SAPBEXexcGood3" xfId="455" xr:uid="{00000000-0005-0000-0000-0000F0010000}"/>
    <cellStyle name="SAPBEXfilterDrill" xfId="456" xr:uid="{00000000-0005-0000-0000-0000F1010000}"/>
    <cellStyle name="SAPBEXfilterItem" xfId="457" xr:uid="{00000000-0005-0000-0000-0000F2010000}"/>
    <cellStyle name="SAPBEXfilterText" xfId="458" xr:uid="{00000000-0005-0000-0000-0000F3010000}"/>
    <cellStyle name="SAPBEXformats" xfId="459" xr:uid="{00000000-0005-0000-0000-0000F4010000}"/>
    <cellStyle name="SAPBEXheaderItem" xfId="460" xr:uid="{00000000-0005-0000-0000-0000F5010000}"/>
    <cellStyle name="SAPBEXheaderText" xfId="461" xr:uid="{00000000-0005-0000-0000-0000F6010000}"/>
    <cellStyle name="SAPBEXHLevel0" xfId="462" xr:uid="{00000000-0005-0000-0000-0000F7010000}"/>
    <cellStyle name="SAPBEXHLevel0X" xfId="463" xr:uid="{00000000-0005-0000-0000-0000F8010000}"/>
    <cellStyle name="SAPBEXHLevel1" xfId="464" xr:uid="{00000000-0005-0000-0000-0000F9010000}"/>
    <cellStyle name="SAPBEXHLevel1X" xfId="465" xr:uid="{00000000-0005-0000-0000-0000FA010000}"/>
    <cellStyle name="SAPBEXHLevel2" xfId="466" xr:uid="{00000000-0005-0000-0000-0000FB010000}"/>
    <cellStyle name="SAPBEXHLevel2X" xfId="467" xr:uid="{00000000-0005-0000-0000-0000FC010000}"/>
    <cellStyle name="SAPBEXHLevel3" xfId="468" xr:uid="{00000000-0005-0000-0000-0000FD010000}"/>
    <cellStyle name="SAPBEXHLevel3X" xfId="469" xr:uid="{00000000-0005-0000-0000-0000FE010000}"/>
    <cellStyle name="SAPBEXresData" xfId="470" xr:uid="{00000000-0005-0000-0000-0000FF010000}"/>
    <cellStyle name="SAPBEXresDataEmph" xfId="471" xr:uid="{00000000-0005-0000-0000-000000020000}"/>
    <cellStyle name="SAPBEXresItem" xfId="472" xr:uid="{00000000-0005-0000-0000-000001020000}"/>
    <cellStyle name="SAPBEXresItemX" xfId="473" xr:uid="{00000000-0005-0000-0000-000002020000}"/>
    <cellStyle name="SAPBEXstdData" xfId="474" xr:uid="{00000000-0005-0000-0000-000003020000}"/>
    <cellStyle name="SAPBEXstdDataEmph" xfId="475" xr:uid="{00000000-0005-0000-0000-000004020000}"/>
    <cellStyle name="SAPBEXstdItem" xfId="476" xr:uid="{00000000-0005-0000-0000-000005020000}"/>
    <cellStyle name="SAPBEXstdItem 3" xfId="477" xr:uid="{00000000-0005-0000-0000-000006020000}"/>
    <cellStyle name="SAPBEXstdItemX" xfId="478" xr:uid="{00000000-0005-0000-0000-000007020000}"/>
    <cellStyle name="SAPBEXtitle" xfId="479" xr:uid="{00000000-0005-0000-0000-000008020000}"/>
    <cellStyle name="SAPBEXundefined" xfId="480" xr:uid="{00000000-0005-0000-0000-000009020000}"/>
    <cellStyle name="Standard_BANK-FORD-VERB" xfId="481" xr:uid="{00000000-0005-0000-0000-00000A020000}"/>
    <cellStyle name="Style 1" xfId="18" xr:uid="{00000000-0005-0000-0000-00000B020000}"/>
    <cellStyle name="Style 2" xfId="57" xr:uid="{00000000-0005-0000-0000-00000C020000}"/>
    <cellStyle name="SUB TITLE" xfId="482" xr:uid="{00000000-0005-0000-0000-00000D020000}"/>
    <cellStyle name="SubTotal" xfId="483" xr:uid="{00000000-0005-0000-0000-00000E020000}"/>
    <cellStyle name="SubTotal 2" xfId="484" xr:uid="{00000000-0005-0000-0000-00000F020000}"/>
    <cellStyle name="SubTotal 3" xfId="485" xr:uid="{00000000-0005-0000-0000-000010020000}"/>
    <cellStyle name="SubTotal 4" xfId="486" xr:uid="{00000000-0005-0000-0000-000011020000}"/>
    <cellStyle name="SubTotal 5" xfId="487" xr:uid="{00000000-0005-0000-0000-000012020000}"/>
    <cellStyle name="SubTotal_Book3" xfId="488" xr:uid="{00000000-0005-0000-0000-000013020000}"/>
    <cellStyle name="Table  - Style6" xfId="489" xr:uid="{00000000-0005-0000-0000-000014020000}"/>
    <cellStyle name="TableStyleLight1" xfId="490" xr:uid="{00000000-0005-0000-0000-000015020000}"/>
    <cellStyle name="Times New Roman" xfId="491" xr:uid="{00000000-0005-0000-0000-000016020000}"/>
    <cellStyle name="Title  - Style1" xfId="492" xr:uid="{00000000-0005-0000-0000-000017020000}"/>
    <cellStyle name="Title 2" xfId="493" xr:uid="{00000000-0005-0000-0000-000018020000}"/>
    <cellStyle name="Title 3" xfId="494" xr:uid="{00000000-0005-0000-0000-000019020000}"/>
    <cellStyle name="Total 2" xfId="495" xr:uid="{00000000-0005-0000-0000-00001A020000}"/>
    <cellStyle name="Total 3" xfId="496" xr:uid="{00000000-0005-0000-0000-00001B020000}"/>
    <cellStyle name="TotCol - Style5" xfId="497" xr:uid="{00000000-0005-0000-0000-00001C020000}"/>
    <cellStyle name="TotRow - Style4" xfId="498" xr:uid="{00000000-0005-0000-0000-00001D020000}"/>
    <cellStyle name="verify" xfId="499" xr:uid="{00000000-0005-0000-0000-00001E020000}"/>
    <cellStyle name="Warning Text 2" xfId="500" xr:uid="{00000000-0005-0000-0000-00001F020000}"/>
    <cellStyle name="Warning Text 3" xfId="501" xr:uid="{00000000-0005-0000-0000-000020020000}"/>
    <cellStyle name="뷭?_BOOKSHIP_ 인원 " xfId="502" xr:uid="{00000000-0005-0000-0000-000021020000}"/>
    <cellStyle name="콤마 [0]_ 비목별 월별기술 " xfId="503" xr:uid="{00000000-0005-0000-0000-000022020000}"/>
    <cellStyle name="콤마_ 비목별 월별기술 " xfId="504" xr:uid="{00000000-0005-0000-0000-000023020000}"/>
    <cellStyle name="통화 [0]_ 비목별 월별기술 " xfId="505" xr:uid="{00000000-0005-0000-0000-000024020000}"/>
    <cellStyle name="통화_ 비목별 월별기술 " xfId="506" xr:uid="{00000000-0005-0000-0000-000025020000}"/>
    <cellStyle name="표준_ 1-3 " xfId="507" xr:uid="{00000000-0005-0000-0000-000026020000}"/>
    <cellStyle name="常规 2" xfId="508" xr:uid="{00000000-0005-0000-0000-000027020000}"/>
    <cellStyle name="常规 2 2" xfId="509" xr:uid="{00000000-0005-0000-0000-000028020000}"/>
    <cellStyle name="常规_PERSONAL5" xfId="510" xr:uid="{00000000-0005-0000-0000-000029020000}"/>
    <cellStyle name="桁区切り [0.00]_laroux" xfId="511" xr:uid="{00000000-0005-0000-0000-00002A020000}"/>
    <cellStyle name="桁区切り_laroux" xfId="512" xr:uid="{00000000-0005-0000-0000-00002B020000}"/>
    <cellStyle name="標準_94物件" xfId="513" xr:uid="{00000000-0005-0000-0000-00002C020000}"/>
    <cellStyle name="通貨 [0.00]_laroux" xfId="514" xr:uid="{00000000-0005-0000-0000-00002D020000}"/>
    <cellStyle name="通貨_laroux" xfId="515" xr:uid="{00000000-0005-0000-0000-00002E02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externalLink" Target="externalLinks/externalLink63.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9.xml"/><Relationship Id="rId68" Type="http://schemas.openxmlformats.org/officeDocument/2006/relationships/externalLink" Target="externalLinks/externalLink14.xml"/><Relationship Id="rId84" Type="http://schemas.openxmlformats.org/officeDocument/2006/relationships/externalLink" Target="externalLinks/externalLink30.xml"/><Relationship Id="rId89" Type="http://schemas.openxmlformats.org/officeDocument/2006/relationships/externalLink" Target="externalLinks/externalLink35.xml"/><Relationship Id="rId112" Type="http://schemas.openxmlformats.org/officeDocument/2006/relationships/externalLink" Target="externalLinks/externalLink58.xml"/><Relationship Id="rId133" Type="http://schemas.openxmlformats.org/officeDocument/2006/relationships/externalLink" Target="externalLinks/externalLink79.xml"/><Relationship Id="rId138" Type="http://schemas.openxmlformats.org/officeDocument/2006/relationships/externalLink" Target="externalLinks/externalLink84.xml"/><Relationship Id="rId16" Type="http://schemas.openxmlformats.org/officeDocument/2006/relationships/worksheet" Target="worksheets/sheet16.xml"/><Relationship Id="rId107" Type="http://schemas.openxmlformats.org/officeDocument/2006/relationships/externalLink" Target="externalLinks/externalLink53.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externalLink" Target="externalLinks/externalLink4.xml"/><Relationship Id="rId74" Type="http://schemas.openxmlformats.org/officeDocument/2006/relationships/externalLink" Target="externalLinks/externalLink20.xml"/><Relationship Id="rId79" Type="http://schemas.openxmlformats.org/officeDocument/2006/relationships/externalLink" Target="externalLinks/externalLink25.xml"/><Relationship Id="rId102" Type="http://schemas.openxmlformats.org/officeDocument/2006/relationships/externalLink" Target="externalLinks/externalLink48.xml"/><Relationship Id="rId123" Type="http://schemas.openxmlformats.org/officeDocument/2006/relationships/externalLink" Target="externalLinks/externalLink69.xml"/><Relationship Id="rId128" Type="http://schemas.openxmlformats.org/officeDocument/2006/relationships/externalLink" Target="externalLinks/externalLink74.xml"/><Relationship Id="rId144" Type="http://schemas.openxmlformats.org/officeDocument/2006/relationships/externalLink" Target="externalLinks/externalLink90.xml"/><Relationship Id="rId149"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externalLink" Target="externalLinks/externalLink36.xml"/><Relationship Id="rId95" Type="http://schemas.openxmlformats.org/officeDocument/2006/relationships/externalLink" Target="externalLinks/externalLink4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externalLink" Target="externalLinks/externalLink10.xml"/><Relationship Id="rId69" Type="http://schemas.openxmlformats.org/officeDocument/2006/relationships/externalLink" Target="externalLinks/externalLink15.xml"/><Relationship Id="rId113" Type="http://schemas.openxmlformats.org/officeDocument/2006/relationships/externalLink" Target="externalLinks/externalLink59.xml"/><Relationship Id="rId118" Type="http://schemas.openxmlformats.org/officeDocument/2006/relationships/externalLink" Target="externalLinks/externalLink64.xml"/><Relationship Id="rId134" Type="http://schemas.openxmlformats.org/officeDocument/2006/relationships/externalLink" Target="externalLinks/externalLink80.xml"/><Relationship Id="rId139" Type="http://schemas.openxmlformats.org/officeDocument/2006/relationships/externalLink" Target="externalLinks/externalLink85.xml"/><Relationship Id="rId80" Type="http://schemas.openxmlformats.org/officeDocument/2006/relationships/externalLink" Target="externalLinks/externalLink26.xml"/><Relationship Id="rId85" Type="http://schemas.openxmlformats.org/officeDocument/2006/relationships/externalLink" Target="externalLinks/externalLink3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5.xml"/><Relationship Id="rId67" Type="http://schemas.openxmlformats.org/officeDocument/2006/relationships/externalLink" Target="externalLinks/externalLink13.xml"/><Relationship Id="rId103" Type="http://schemas.openxmlformats.org/officeDocument/2006/relationships/externalLink" Target="externalLinks/externalLink49.xml"/><Relationship Id="rId108" Type="http://schemas.openxmlformats.org/officeDocument/2006/relationships/externalLink" Target="externalLinks/externalLink54.xml"/><Relationship Id="rId116" Type="http://schemas.openxmlformats.org/officeDocument/2006/relationships/externalLink" Target="externalLinks/externalLink62.xml"/><Relationship Id="rId124" Type="http://schemas.openxmlformats.org/officeDocument/2006/relationships/externalLink" Target="externalLinks/externalLink70.xml"/><Relationship Id="rId129" Type="http://schemas.openxmlformats.org/officeDocument/2006/relationships/externalLink" Target="externalLinks/externalLink75.xml"/><Relationship Id="rId137" Type="http://schemas.openxmlformats.org/officeDocument/2006/relationships/externalLink" Target="externalLinks/externalLink8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8.xml"/><Relationship Id="rId70" Type="http://schemas.openxmlformats.org/officeDocument/2006/relationships/externalLink" Target="externalLinks/externalLink16.xml"/><Relationship Id="rId75" Type="http://schemas.openxmlformats.org/officeDocument/2006/relationships/externalLink" Target="externalLinks/externalLink21.xml"/><Relationship Id="rId83" Type="http://schemas.openxmlformats.org/officeDocument/2006/relationships/externalLink" Target="externalLinks/externalLink29.xml"/><Relationship Id="rId88" Type="http://schemas.openxmlformats.org/officeDocument/2006/relationships/externalLink" Target="externalLinks/externalLink34.xml"/><Relationship Id="rId91" Type="http://schemas.openxmlformats.org/officeDocument/2006/relationships/externalLink" Target="externalLinks/externalLink37.xml"/><Relationship Id="rId96" Type="http://schemas.openxmlformats.org/officeDocument/2006/relationships/externalLink" Target="externalLinks/externalLink42.xml"/><Relationship Id="rId111" Type="http://schemas.openxmlformats.org/officeDocument/2006/relationships/externalLink" Target="externalLinks/externalLink57.xml"/><Relationship Id="rId132" Type="http://schemas.openxmlformats.org/officeDocument/2006/relationships/externalLink" Target="externalLinks/externalLink78.xml"/><Relationship Id="rId140" Type="http://schemas.openxmlformats.org/officeDocument/2006/relationships/externalLink" Target="externalLinks/externalLink86.xml"/><Relationship Id="rId145" Type="http://schemas.openxmlformats.org/officeDocument/2006/relationships/externalLink" Target="externalLinks/externalLink9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3.xml"/><Relationship Id="rId106" Type="http://schemas.openxmlformats.org/officeDocument/2006/relationships/externalLink" Target="externalLinks/externalLink52.xml"/><Relationship Id="rId114" Type="http://schemas.openxmlformats.org/officeDocument/2006/relationships/externalLink" Target="externalLinks/externalLink60.xml"/><Relationship Id="rId119" Type="http://schemas.openxmlformats.org/officeDocument/2006/relationships/externalLink" Target="externalLinks/externalLink65.xml"/><Relationship Id="rId127" Type="http://schemas.openxmlformats.org/officeDocument/2006/relationships/externalLink" Target="externalLinks/externalLink7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6.xml"/><Relationship Id="rId65" Type="http://schemas.openxmlformats.org/officeDocument/2006/relationships/externalLink" Target="externalLinks/externalLink11.xml"/><Relationship Id="rId73" Type="http://schemas.openxmlformats.org/officeDocument/2006/relationships/externalLink" Target="externalLinks/externalLink19.xml"/><Relationship Id="rId78" Type="http://schemas.openxmlformats.org/officeDocument/2006/relationships/externalLink" Target="externalLinks/externalLink24.xml"/><Relationship Id="rId81" Type="http://schemas.openxmlformats.org/officeDocument/2006/relationships/externalLink" Target="externalLinks/externalLink27.xml"/><Relationship Id="rId86" Type="http://schemas.openxmlformats.org/officeDocument/2006/relationships/externalLink" Target="externalLinks/externalLink32.xml"/><Relationship Id="rId94" Type="http://schemas.openxmlformats.org/officeDocument/2006/relationships/externalLink" Target="externalLinks/externalLink40.xml"/><Relationship Id="rId99" Type="http://schemas.openxmlformats.org/officeDocument/2006/relationships/externalLink" Target="externalLinks/externalLink45.xml"/><Relationship Id="rId101" Type="http://schemas.openxmlformats.org/officeDocument/2006/relationships/externalLink" Target="externalLinks/externalLink47.xml"/><Relationship Id="rId122" Type="http://schemas.openxmlformats.org/officeDocument/2006/relationships/externalLink" Target="externalLinks/externalLink68.xml"/><Relationship Id="rId130" Type="http://schemas.openxmlformats.org/officeDocument/2006/relationships/externalLink" Target="externalLinks/externalLink76.xml"/><Relationship Id="rId135" Type="http://schemas.openxmlformats.org/officeDocument/2006/relationships/externalLink" Target="externalLinks/externalLink81.xml"/><Relationship Id="rId143" Type="http://schemas.openxmlformats.org/officeDocument/2006/relationships/externalLink" Target="externalLinks/externalLink89.xml"/><Relationship Id="rId14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55.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externalLink" Target="externalLinks/externalLink1.xml"/><Relationship Id="rId76" Type="http://schemas.openxmlformats.org/officeDocument/2006/relationships/externalLink" Target="externalLinks/externalLink22.xml"/><Relationship Id="rId97" Type="http://schemas.openxmlformats.org/officeDocument/2006/relationships/externalLink" Target="externalLinks/externalLink43.xml"/><Relationship Id="rId104" Type="http://schemas.openxmlformats.org/officeDocument/2006/relationships/externalLink" Target="externalLinks/externalLink50.xml"/><Relationship Id="rId120" Type="http://schemas.openxmlformats.org/officeDocument/2006/relationships/externalLink" Target="externalLinks/externalLink66.xml"/><Relationship Id="rId125" Type="http://schemas.openxmlformats.org/officeDocument/2006/relationships/externalLink" Target="externalLinks/externalLink71.xml"/><Relationship Id="rId141" Type="http://schemas.openxmlformats.org/officeDocument/2006/relationships/externalLink" Target="externalLinks/externalLink87.xml"/><Relationship Id="rId14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externalLink" Target="externalLinks/externalLink17.xml"/><Relationship Id="rId92" Type="http://schemas.openxmlformats.org/officeDocument/2006/relationships/externalLink" Target="externalLinks/externalLink38.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externalLink" Target="externalLinks/externalLink12.xml"/><Relationship Id="rId87" Type="http://schemas.openxmlformats.org/officeDocument/2006/relationships/externalLink" Target="externalLinks/externalLink33.xml"/><Relationship Id="rId110" Type="http://schemas.openxmlformats.org/officeDocument/2006/relationships/externalLink" Target="externalLinks/externalLink56.xml"/><Relationship Id="rId115" Type="http://schemas.openxmlformats.org/officeDocument/2006/relationships/externalLink" Target="externalLinks/externalLink61.xml"/><Relationship Id="rId131" Type="http://schemas.openxmlformats.org/officeDocument/2006/relationships/externalLink" Target="externalLinks/externalLink77.xml"/><Relationship Id="rId136" Type="http://schemas.openxmlformats.org/officeDocument/2006/relationships/externalLink" Target="externalLinks/externalLink82.xml"/><Relationship Id="rId61" Type="http://schemas.openxmlformats.org/officeDocument/2006/relationships/externalLink" Target="externalLinks/externalLink7.xml"/><Relationship Id="rId82" Type="http://schemas.openxmlformats.org/officeDocument/2006/relationships/externalLink" Target="externalLinks/externalLink28.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externalLink" Target="externalLinks/externalLink2.xml"/><Relationship Id="rId77" Type="http://schemas.openxmlformats.org/officeDocument/2006/relationships/externalLink" Target="externalLinks/externalLink23.xml"/><Relationship Id="rId100" Type="http://schemas.openxmlformats.org/officeDocument/2006/relationships/externalLink" Target="externalLinks/externalLink46.xml"/><Relationship Id="rId105" Type="http://schemas.openxmlformats.org/officeDocument/2006/relationships/externalLink" Target="externalLinks/externalLink51.xml"/><Relationship Id="rId126" Type="http://schemas.openxmlformats.org/officeDocument/2006/relationships/externalLink" Target="externalLinks/externalLink72.xml"/><Relationship Id="rId14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18.xml"/><Relationship Id="rId93" Type="http://schemas.openxmlformats.org/officeDocument/2006/relationships/externalLink" Target="externalLinks/externalLink39.xml"/><Relationship Id="rId98" Type="http://schemas.openxmlformats.org/officeDocument/2006/relationships/externalLink" Target="externalLinks/externalLink44.xml"/><Relationship Id="rId121" Type="http://schemas.openxmlformats.org/officeDocument/2006/relationships/externalLink" Target="externalLinks/externalLink67.xml"/><Relationship Id="rId142" Type="http://schemas.openxmlformats.org/officeDocument/2006/relationships/externalLink" Target="externalLinks/externalLink8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FY 2017-18</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Graph!$G$2:$G$3</c:f>
              <c:strCache>
                <c:ptCount val="2"/>
                <c:pt idx="0">
                  <c:v>FY 2017-18</c:v>
                </c:pt>
                <c:pt idx="1">
                  <c:v>MYT Order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Graph!$B$4:$B$6</c:f>
              <c:strCache>
                <c:ptCount val="3"/>
                <c:pt idx="0">
                  <c:v>Approved ARR</c:v>
                </c:pt>
                <c:pt idx="1">
                  <c:v>Revenue</c:v>
                </c:pt>
                <c:pt idx="2">
                  <c:v>Gap/(Surplus)</c:v>
                </c:pt>
              </c:strCache>
            </c:strRef>
          </c:cat>
          <c:val>
            <c:numRef>
              <c:f>Graph!$G$4:$G$6</c:f>
              <c:numCache>
                <c:formatCode>_(* #,##0.00_);_(* \(#,##0.00\);_(* "-"??_);_(@_)</c:formatCode>
                <c:ptCount val="3"/>
                <c:pt idx="0">
                  <c:v>59.355911837242715</c:v>
                </c:pt>
                <c:pt idx="1">
                  <c:v>59.4</c:v>
                </c:pt>
                <c:pt idx="2" formatCode="_(* #,##0.00_);_(* \(#,##0.00\);_(* &quot;-&quot;??_);_(@_)">
                  <c:v>-4.4088162757283555E-2</c:v>
                </c:pt>
              </c:numCache>
            </c:numRef>
          </c:val>
          <c:extLst>
            <c:ext xmlns:c16="http://schemas.microsoft.com/office/drawing/2014/chart" uri="{C3380CC4-5D6E-409C-BE32-E72D297353CC}">
              <c16:uniqueId val="{00000000-3A4D-48CC-951B-1C0F0BC2E079}"/>
            </c:ext>
          </c:extLst>
        </c:ser>
        <c:ser>
          <c:idx val="1"/>
          <c:order val="1"/>
          <c:tx>
            <c:strRef>
              <c:f>Graph!$H$2:$H$3</c:f>
              <c:strCache>
                <c:ptCount val="2"/>
                <c:pt idx="0">
                  <c:v>FY 2017-18</c:v>
                </c:pt>
                <c:pt idx="1">
                  <c:v>Actual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Graph!$B$4:$B$6</c:f>
              <c:strCache>
                <c:ptCount val="3"/>
                <c:pt idx="0">
                  <c:v>Approved ARR</c:v>
                </c:pt>
                <c:pt idx="1">
                  <c:v>Revenue</c:v>
                </c:pt>
                <c:pt idx="2">
                  <c:v>Gap/(Surplus)</c:v>
                </c:pt>
              </c:strCache>
            </c:strRef>
          </c:cat>
          <c:val>
            <c:numRef>
              <c:f>Graph!$H$4:$H$6</c:f>
              <c:numCache>
                <c:formatCode>_(* #,##0.00_);_(* \(#,##0.00\);_(* "-"??_);_(@_)</c:formatCode>
                <c:ptCount val="3"/>
                <c:pt idx="0">
                  <c:v>50.739208712214094</c:v>
                </c:pt>
                <c:pt idx="1">
                  <c:v>44.741646509079999</c:v>
                </c:pt>
                <c:pt idx="2" formatCode="_(* #,##0.00_);_(* \(#,##0.00\);_(* &quot;-&quot;??_);_(@_)">
                  <c:v>5.9975622031340947</c:v>
                </c:pt>
              </c:numCache>
            </c:numRef>
          </c:val>
          <c:extLst>
            <c:ext xmlns:c16="http://schemas.microsoft.com/office/drawing/2014/chart" uri="{C3380CC4-5D6E-409C-BE32-E72D297353CC}">
              <c16:uniqueId val="{00000001-3A4D-48CC-951B-1C0F0BC2E079}"/>
            </c:ext>
          </c:extLst>
        </c:ser>
        <c:dLbls>
          <c:dLblPos val="outEnd"/>
          <c:showLegendKey val="0"/>
          <c:showVal val="1"/>
          <c:showCatName val="0"/>
          <c:showSerName val="0"/>
          <c:showPercent val="0"/>
          <c:showBubbleSize val="0"/>
        </c:dLbls>
        <c:gapWidth val="219"/>
        <c:overlap val="-27"/>
        <c:axId val="614443192"/>
        <c:axId val="614443848"/>
      </c:barChart>
      <c:catAx>
        <c:axId val="614443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4443848"/>
        <c:crosses val="autoZero"/>
        <c:auto val="1"/>
        <c:lblAlgn val="ctr"/>
        <c:lblOffset val="100"/>
        <c:noMultiLvlLbl val="0"/>
      </c:catAx>
      <c:valAx>
        <c:axId val="61444384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Rs..Crore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4443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Revised Net ARR for FY 2018-19 and FY 2019-20</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Graph!$B$14</c:f>
              <c:strCache>
                <c:ptCount val="1"/>
                <c:pt idx="0">
                  <c:v>Net ARR</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Graph!$C$8:$F$9</c:f>
              <c:multiLvlStrCache>
                <c:ptCount val="4"/>
                <c:lvl>
                  <c:pt idx="0">
                    <c:v>MYT Order</c:v>
                  </c:pt>
                  <c:pt idx="1">
                    <c:v>Proposed</c:v>
                  </c:pt>
                  <c:pt idx="2">
                    <c:v>MYT Order</c:v>
                  </c:pt>
                  <c:pt idx="3">
                    <c:v>Proposed</c:v>
                  </c:pt>
                </c:lvl>
                <c:lvl>
                  <c:pt idx="0">
                    <c:v>FY 2018-19</c:v>
                  </c:pt>
                  <c:pt idx="2">
                    <c:v>FY 2019-20</c:v>
                  </c:pt>
                </c:lvl>
              </c:multiLvlStrCache>
            </c:multiLvlStrRef>
          </c:cat>
          <c:val>
            <c:numRef>
              <c:f>Graph!$C$14:$F$14</c:f>
              <c:numCache>
                <c:formatCode>_(* #,##0.00_);_(* \(#,##0.00\);_(* "-"??_);_(@_)</c:formatCode>
                <c:ptCount val="4"/>
                <c:pt idx="0">
                  <c:v>62.945548476166508</c:v>
                </c:pt>
                <c:pt idx="1">
                  <c:v>59.504782371881902</c:v>
                </c:pt>
                <c:pt idx="2">
                  <c:v>65.635916520454458</c:v>
                </c:pt>
                <c:pt idx="3">
                  <c:v>69.113095109099163</c:v>
                </c:pt>
              </c:numCache>
            </c:numRef>
          </c:val>
          <c:extLst>
            <c:ext xmlns:c16="http://schemas.microsoft.com/office/drawing/2014/chart" uri="{C3380CC4-5D6E-409C-BE32-E72D297353CC}">
              <c16:uniqueId val="{00000000-8C5E-45C1-9C33-7362AD1A7A68}"/>
            </c:ext>
          </c:extLst>
        </c:ser>
        <c:dLbls>
          <c:dLblPos val="outEnd"/>
          <c:showLegendKey val="0"/>
          <c:showVal val="1"/>
          <c:showCatName val="0"/>
          <c:showSerName val="0"/>
          <c:showPercent val="0"/>
          <c:showBubbleSize val="0"/>
        </c:dLbls>
        <c:gapWidth val="444"/>
        <c:overlap val="-90"/>
        <c:axId val="611813032"/>
        <c:axId val="611803192"/>
      </c:barChart>
      <c:catAx>
        <c:axId val="6118130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611803192"/>
        <c:crosses val="autoZero"/>
        <c:auto val="1"/>
        <c:lblAlgn val="ctr"/>
        <c:lblOffset val="100"/>
        <c:noMultiLvlLbl val="0"/>
      </c:catAx>
      <c:valAx>
        <c:axId val="611803192"/>
        <c:scaling>
          <c:orientation val="minMax"/>
          <c:min val="0"/>
        </c:scaling>
        <c:delete val="1"/>
        <c:axPos val="l"/>
        <c:numFmt formatCode="_(* #,##0.00_);_(* \(#,##0.00\);_(* &quot;-&quot;??_);_(@_)" sourceLinked="1"/>
        <c:majorTickMark val="none"/>
        <c:minorTickMark val="none"/>
        <c:tickLblPos val="nextTo"/>
        <c:crossAx val="6118130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Graph!$B$19</c:f>
              <c:strCache>
                <c:ptCount val="1"/>
                <c:pt idx="0">
                  <c:v>Wheeling Charges (Rs./kWh)</c:v>
                </c:pt>
              </c:strCache>
            </c:strRef>
          </c:tx>
          <c:spPr>
            <a:solidFill>
              <a:schemeClr val="accent1"/>
            </a:solidFill>
            <a:ln>
              <a:noFill/>
            </a:ln>
            <a:effectLst/>
          </c:spPr>
          <c:invertIfNegative val="0"/>
          <c:cat>
            <c:multiLvlStrRef>
              <c:f>Graph!$C$17:$F$18</c:f>
              <c:multiLvlStrCache>
                <c:ptCount val="4"/>
                <c:lvl>
                  <c:pt idx="0">
                    <c:v>MYT Order</c:v>
                  </c:pt>
                  <c:pt idx="1">
                    <c:v>Proposed</c:v>
                  </c:pt>
                  <c:pt idx="2">
                    <c:v>MYT Order</c:v>
                  </c:pt>
                  <c:pt idx="3">
                    <c:v>Proposed</c:v>
                  </c:pt>
                </c:lvl>
                <c:lvl>
                  <c:pt idx="0">
                    <c:v>FY 2018-19</c:v>
                  </c:pt>
                  <c:pt idx="2">
                    <c:v>FY 2019-20</c:v>
                  </c:pt>
                </c:lvl>
              </c:multiLvlStrCache>
            </c:multiLvlStrRef>
          </c:cat>
          <c:val>
            <c:numRef>
              <c:f>Graph!$C$19:$F$19</c:f>
              <c:numCache>
                <c:formatCode>0.00</c:formatCode>
                <c:ptCount val="4"/>
                <c:pt idx="0">
                  <c:v>0.94384540664895111</c:v>
                </c:pt>
                <c:pt idx="1">
                  <c:v>1.3385446192075825</c:v>
                </c:pt>
                <c:pt idx="2">
                  <c:v>0.9106089625696242</c:v>
                </c:pt>
                <c:pt idx="3">
                  <c:v>1.3565161708151909</c:v>
                </c:pt>
              </c:numCache>
            </c:numRef>
          </c:val>
          <c:extLst>
            <c:ext xmlns:c16="http://schemas.microsoft.com/office/drawing/2014/chart" uri="{C3380CC4-5D6E-409C-BE32-E72D297353CC}">
              <c16:uniqueId val="{00000000-BC6F-4FFF-AC10-C802B2B5DA16}"/>
            </c:ext>
          </c:extLst>
        </c:ser>
        <c:ser>
          <c:idx val="1"/>
          <c:order val="1"/>
          <c:tx>
            <c:strRef>
              <c:f>Graph!$B$20</c:f>
              <c:strCache>
                <c:ptCount val="1"/>
                <c:pt idx="0">
                  <c:v>Supply ACoS (Rs./kWh)</c:v>
                </c:pt>
              </c:strCache>
            </c:strRef>
          </c:tx>
          <c:spPr>
            <a:solidFill>
              <a:schemeClr val="accent2"/>
            </a:solidFill>
            <a:ln>
              <a:noFill/>
            </a:ln>
            <a:effectLst/>
          </c:spPr>
          <c:invertIfNegative val="0"/>
          <c:cat>
            <c:multiLvlStrRef>
              <c:f>Graph!$C$17:$F$18</c:f>
              <c:multiLvlStrCache>
                <c:ptCount val="4"/>
                <c:lvl>
                  <c:pt idx="0">
                    <c:v>MYT Order</c:v>
                  </c:pt>
                  <c:pt idx="1">
                    <c:v>Proposed</c:v>
                  </c:pt>
                  <c:pt idx="2">
                    <c:v>MYT Order</c:v>
                  </c:pt>
                  <c:pt idx="3">
                    <c:v>Proposed</c:v>
                  </c:pt>
                </c:lvl>
                <c:lvl>
                  <c:pt idx="0">
                    <c:v>FY 2018-19</c:v>
                  </c:pt>
                  <c:pt idx="2">
                    <c:v>FY 2019-20</c:v>
                  </c:pt>
                </c:lvl>
              </c:multiLvlStrCache>
            </c:multiLvlStrRef>
          </c:cat>
          <c:val>
            <c:numRef>
              <c:f>Graph!$C$20:$F$20</c:f>
              <c:numCache>
                <c:formatCode>0.00</c:formatCode>
                <c:ptCount val="4"/>
                <c:pt idx="0">
                  <c:v>4.657759576972178</c:v>
                </c:pt>
                <c:pt idx="1">
                  <c:v>5.3455541187154285</c:v>
                </c:pt>
                <c:pt idx="2">
                  <c:v>4.6749093353515487</c:v>
                </c:pt>
                <c:pt idx="3">
                  <c:v>5.9400739244388436</c:v>
                </c:pt>
              </c:numCache>
            </c:numRef>
          </c:val>
          <c:extLst>
            <c:ext xmlns:c16="http://schemas.microsoft.com/office/drawing/2014/chart" uri="{C3380CC4-5D6E-409C-BE32-E72D297353CC}">
              <c16:uniqueId val="{00000001-BC6F-4FFF-AC10-C802B2B5DA16}"/>
            </c:ext>
          </c:extLst>
        </c:ser>
        <c:dLbls>
          <c:showLegendKey val="0"/>
          <c:showVal val="0"/>
          <c:showCatName val="0"/>
          <c:showSerName val="0"/>
          <c:showPercent val="0"/>
          <c:showBubbleSize val="0"/>
        </c:dLbls>
        <c:gapWidth val="150"/>
        <c:overlap val="100"/>
        <c:axId val="609687408"/>
        <c:axId val="609687080"/>
      </c:barChart>
      <c:catAx>
        <c:axId val="609687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687080"/>
        <c:crosses val="autoZero"/>
        <c:auto val="1"/>
        <c:lblAlgn val="ctr"/>
        <c:lblOffset val="100"/>
        <c:noMultiLvlLbl val="0"/>
      </c:catAx>
      <c:valAx>
        <c:axId val="609687080"/>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687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O&amp;M  Expenses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Graph!$B$55</c:f>
              <c:strCache>
                <c:ptCount val="1"/>
                <c:pt idx="0">
                  <c:v>Approved in MYT Order</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Graph!$C$54:$G$54</c:f>
              <c:strCache>
                <c:ptCount val="5"/>
                <c:pt idx="0">
                  <c:v>FY 2015-16</c:v>
                </c:pt>
                <c:pt idx="1">
                  <c:v>FY 2016-17</c:v>
                </c:pt>
                <c:pt idx="2">
                  <c:v>FY 2017-18</c:v>
                </c:pt>
                <c:pt idx="3">
                  <c:v>FY 2018-19</c:v>
                </c:pt>
                <c:pt idx="4">
                  <c:v>FY 2019-20</c:v>
                </c:pt>
              </c:strCache>
            </c:strRef>
          </c:cat>
          <c:val>
            <c:numRef>
              <c:f>Graph!$C$55:$G$55</c:f>
              <c:numCache>
                <c:formatCode>_(* #,##0.00_);_(* \(#,##0.00\);_(* "-"??_);_(@_)</c:formatCode>
                <c:ptCount val="5"/>
                <c:pt idx="0">
                  <c:v>3.1513522875486002</c:v>
                </c:pt>
                <c:pt idx="1">
                  <c:v>3.2449474504887936</c:v>
                </c:pt>
                <c:pt idx="2">
                  <c:v>3.3413223897683109</c:v>
                </c:pt>
                <c:pt idx="3">
                  <c:v>3.4405596647444301</c:v>
                </c:pt>
                <c:pt idx="4">
                  <c:v>3.54274428678734</c:v>
                </c:pt>
              </c:numCache>
            </c:numRef>
          </c:val>
          <c:smooth val="0"/>
          <c:extLst>
            <c:ext xmlns:c16="http://schemas.microsoft.com/office/drawing/2014/chart" uri="{C3380CC4-5D6E-409C-BE32-E72D297353CC}">
              <c16:uniqueId val="{00000000-315A-42FA-AE37-E227AAF3B860}"/>
            </c:ext>
          </c:extLst>
        </c:ser>
        <c:ser>
          <c:idx val="1"/>
          <c:order val="1"/>
          <c:tx>
            <c:strRef>
              <c:f>Graph!$B$56</c:f>
              <c:strCache>
                <c:ptCount val="1"/>
                <c:pt idx="0">
                  <c:v>Revised Normative as per Amendment Regulations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Graph!$C$54:$G$54</c:f>
              <c:strCache>
                <c:ptCount val="5"/>
                <c:pt idx="0">
                  <c:v>FY 2015-16</c:v>
                </c:pt>
                <c:pt idx="1">
                  <c:v>FY 2016-17</c:v>
                </c:pt>
                <c:pt idx="2">
                  <c:v>FY 2017-18</c:v>
                </c:pt>
                <c:pt idx="3">
                  <c:v>FY 2018-19</c:v>
                </c:pt>
                <c:pt idx="4">
                  <c:v>FY 2019-20</c:v>
                </c:pt>
              </c:strCache>
            </c:strRef>
          </c:cat>
          <c:val>
            <c:numRef>
              <c:f>Graph!$C$56:$G$56</c:f>
              <c:numCache>
                <c:formatCode>_(* #,##0.00_);_(* \(#,##0.00\);_(* "-"??_);_(@_)</c:formatCode>
                <c:ptCount val="5"/>
                <c:pt idx="0">
                  <c:v>4.9338121000000008</c:v>
                </c:pt>
                <c:pt idx="1">
                  <c:v>5.1681853634281243</c:v>
                </c:pt>
                <c:pt idx="2">
                  <c:v>5.4136921733911771</c:v>
                </c:pt>
                <c:pt idx="3">
                  <c:v>5.6708614121372127</c:v>
                </c:pt>
                <c:pt idx="4">
                  <c:v>5.9402470856636151</c:v>
                </c:pt>
              </c:numCache>
            </c:numRef>
          </c:val>
          <c:smooth val="0"/>
          <c:extLst>
            <c:ext xmlns:c16="http://schemas.microsoft.com/office/drawing/2014/chart" uri="{C3380CC4-5D6E-409C-BE32-E72D297353CC}">
              <c16:uniqueId val="{00000001-315A-42FA-AE37-E227AAF3B860}"/>
            </c:ext>
          </c:extLst>
        </c:ser>
        <c:ser>
          <c:idx val="2"/>
          <c:order val="2"/>
          <c:tx>
            <c:strRef>
              <c:f>Graph!$B$57</c:f>
              <c:strCache>
                <c:ptCount val="1"/>
                <c:pt idx="0">
                  <c:v>Proposed by MBPPL</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Graph!$C$54:$G$54</c:f>
              <c:strCache>
                <c:ptCount val="5"/>
                <c:pt idx="0">
                  <c:v>FY 2015-16</c:v>
                </c:pt>
                <c:pt idx="1">
                  <c:v>FY 2016-17</c:v>
                </c:pt>
                <c:pt idx="2">
                  <c:v>FY 2017-18</c:v>
                </c:pt>
                <c:pt idx="3">
                  <c:v>FY 2018-19</c:v>
                </c:pt>
                <c:pt idx="4">
                  <c:v>FY 2019-20</c:v>
                </c:pt>
              </c:strCache>
            </c:strRef>
          </c:cat>
          <c:val>
            <c:numRef>
              <c:f>Graph!$C$57:$G$57</c:f>
              <c:numCache>
                <c:formatCode>_(* #,##0.00_);_(* \(#,##0.00\);_(* "-"??_);_(@_)</c:formatCode>
                <c:ptCount val="5"/>
                <c:pt idx="0">
                  <c:v>4.9338121000000008</c:v>
                </c:pt>
                <c:pt idx="1">
                  <c:v>5.1873491000000005</c:v>
                </c:pt>
                <c:pt idx="2">
                  <c:v>5.4575609110937613</c:v>
                </c:pt>
                <c:pt idx="3">
                  <c:v>6.1406313315957499</c:v>
                </c:pt>
                <c:pt idx="4">
                  <c:v>6.8343033685328551</c:v>
                </c:pt>
              </c:numCache>
            </c:numRef>
          </c:val>
          <c:smooth val="0"/>
          <c:extLst>
            <c:ext xmlns:c16="http://schemas.microsoft.com/office/drawing/2014/chart" uri="{C3380CC4-5D6E-409C-BE32-E72D297353CC}">
              <c16:uniqueId val="{00000002-315A-42FA-AE37-E227AAF3B860}"/>
            </c:ext>
          </c:extLst>
        </c:ser>
        <c:dLbls>
          <c:showLegendKey val="0"/>
          <c:showVal val="0"/>
          <c:showCatName val="0"/>
          <c:showSerName val="0"/>
          <c:showPercent val="0"/>
          <c:showBubbleSize val="0"/>
        </c:dLbls>
        <c:marker val="1"/>
        <c:smooth val="0"/>
        <c:axId val="555693088"/>
        <c:axId val="555692104"/>
      </c:lineChart>
      <c:catAx>
        <c:axId val="555693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5692104"/>
        <c:crosses val="autoZero"/>
        <c:auto val="1"/>
        <c:lblAlgn val="ctr"/>
        <c:lblOffset val="100"/>
        <c:noMultiLvlLbl val="0"/>
      </c:catAx>
      <c:valAx>
        <c:axId val="555692104"/>
        <c:scaling>
          <c:orientation val="minMax"/>
        </c:scaling>
        <c:delete val="0"/>
        <c:axPos val="l"/>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5693088"/>
        <c:crosses val="autoZero"/>
        <c:crossBetween val="between"/>
      </c:valAx>
      <c:spPr>
        <a:noFill/>
        <a:ln>
          <a:noFill/>
        </a:ln>
        <a:effectLst/>
      </c:spPr>
    </c:plotArea>
    <c:legend>
      <c:legendPos val="b"/>
      <c:layout>
        <c:manualLayout>
          <c:xMode val="edge"/>
          <c:yMode val="edge"/>
          <c:x val="6.6755905511811015E-2"/>
          <c:y val="0.89293817439486733"/>
          <c:w val="0.89148818897637805"/>
          <c:h val="7.9284047827354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Wheeling Charges + Energy Charges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'Tariff Summary'!$E$32:$E$33</c:f>
              <c:strCache>
                <c:ptCount val="2"/>
                <c:pt idx="0">
                  <c:v>FY 2019-10</c:v>
                </c:pt>
                <c:pt idx="1">
                  <c:v>MSEDCL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'Tariff Summary'!$B$34:$B$40</c:f>
              <c:strCache>
                <c:ptCount val="7"/>
                <c:pt idx="0">
                  <c:v>HT I </c:v>
                </c:pt>
                <c:pt idx="1">
                  <c:v>HT II</c:v>
                </c:pt>
                <c:pt idx="2">
                  <c:v>LT I </c:v>
                </c:pt>
                <c:pt idx="3">
                  <c:v>LT II (A)</c:v>
                </c:pt>
                <c:pt idx="4">
                  <c:v>LT II (B)</c:v>
                </c:pt>
                <c:pt idx="5">
                  <c:v>LT III (A)</c:v>
                </c:pt>
                <c:pt idx="6">
                  <c:v>LT III (B)</c:v>
                </c:pt>
              </c:strCache>
            </c:strRef>
          </c:cat>
          <c:val>
            <c:numRef>
              <c:f>'Tariff Summary'!$E$34:$E$40</c:f>
            </c:numRef>
          </c:val>
          <c:extLst>
            <c:ext xmlns:c16="http://schemas.microsoft.com/office/drawing/2014/chart" uri="{C3380CC4-5D6E-409C-BE32-E72D297353CC}">
              <c16:uniqueId val="{00000000-0894-4C87-9111-426680162F8D}"/>
            </c:ext>
          </c:extLst>
        </c:ser>
        <c:ser>
          <c:idx val="1"/>
          <c:order val="1"/>
          <c:tx>
            <c:strRef>
              <c:f>'Tariff Summary'!$F$32:$F$33</c:f>
              <c:strCache>
                <c:ptCount val="2"/>
                <c:pt idx="0">
                  <c:v>FY 2019-10</c:v>
                </c:pt>
                <c:pt idx="1">
                  <c:v>Proposed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'Tariff Summary'!$B$34:$B$40</c:f>
              <c:strCache>
                <c:ptCount val="7"/>
                <c:pt idx="0">
                  <c:v>HT I </c:v>
                </c:pt>
                <c:pt idx="1">
                  <c:v>HT II</c:v>
                </c:pt>
                <c:pt idx="2">
                  <c:v>LT I </c:v>
                </c:pt>
                <c:pt idx="3">
                  <c:v>LT II (A)</c:v>
                </c:pt>
                <c:pt idx="4">
                  <c:v>LT II (B)</c:v>
                </c:pt>
                <c:pt idx="5">
                  <c:v>LT III (A)</c:v>
                </c:pt>
                <c:pt idx="6">
                  <c:v>LT III (B)</c:v>
                </c:pt>
              </c:strCache>
            </c:strRef>
          </c:cat>
          <c:val>
            <c:numRef>
              <c:f>'Tariff Summary'!$F$34:$F$40</c:f>
            </c:numRef>
          </c:val>
          <c:extLst>
            <c:ext xmlns:c16="http://schemas.microsoft.com/office/drawing/2014/chart" uri="{C3380CC4-5D6E-409C-BE32-E72D297353CC}">
              <c16:uniqueId val="{00000001-0894-4C87-9111-426680162F8D}"/>
            </c:ext>
          </c:extLst>
        </c:ser>
        <c:dLbls>
          <c:dLblPos val="outEnd"/>
          <c:showLegendKey val="0"/>
          <c:showVal val="1"/>
          <c:showCatName val="0"/>
          <c:showSerName val="0"/>
          <c:showPercent val="0"/>
          <c:showBubbleSize val="0"/>
        </c:dLbls>
        <c:gapWidth val="219"/>
        <c:overlap val="-27"/>
        <c:axId val="611806800"/>
        <c:axId val="611805816"/>
      </c:barChart>
      <c:catAx>
        <c:axId val="61180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805816"/>
        <c:crosses val="autoZero"/>
        <c:auto val="1"/>
        <c:lblAlgn val="ctr"/>
        <c:lblOffset val="100"/>
        <c:noMultiLvlLbl val="0"/>
      </c:catAx>
      <c:valAx>
        <c:axId val="611805816"/>
        <c:scaling>
          <c:orientation val="minMax"/>
        </c:scaling>
        <c:delete val="0"/>
        <c:axPos val="l"/>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806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8</xdr:col>
      <xdr:colOff>604836</xdr:colOff>
      <xdr:row>1</xdr:row>
      <xdr:rowOff>0</xdr:rowOff>
    </xdr:from>
    <xdr:to>
      <xdr:col>16</xdr:col>
      <xdr:colOff>590549</xdr:colOff>
      <xdr:row>18</xdr:row>
      <xdr:rowOff>0</xdr:rowOff>
    </xdr:to>
    <xdr:graphicFrame macro="">
      <xdr:nvGraphicFramePr>
        <xdr:cNvPr id="4" name="Chart 3">
          <a:extLst>
            <a:ext uri="{FF2B5EF4-FFF2-40B4-BE49-F238E27FC236}">
              <a16:creationId xmlns:a16="http://schemas.microsoft.com/office/drawing/2014/main" id="{38CC9D3E-F18F-4097-A946-A09FA221C9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283368</xdr:colOff>
      <xdr:row>19</xdr:row>
      <xdr:rowOff>38100</xdr:rowOff>
    </xdr:from>
    <xdr:to>
      <xdr:col>17</xdr:col>
      <xdr:colOff>-1</xdr:colOff>
      <xdr:row>36</xdr:row>
      <xdr:rowOff>28576</xdr:rowOff>
    </xdr:to>
    <xdr:graphicFrame macro="">
      <xdr:nvGraphicFramePr>
        <xdr:cNvPr id="6" name="Chart 5">
          <a:extLst>
            <a:ext uri="{FF2B5EF4-FFF2-40B4-BE49-F238E27FC236}">
              <a16:creationId xmlns:a16="http://schemas.microsoft.com/office/drawing/2014/main" id="{A3C6B927-27C9-45FC-911F-664330BE14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511969</xdr:colOff>
      <xdr:row>21</xdr:row>
      <xdr:rowOff>104774</xdr:rowOff>
    </xdr:from>
    <xdr:to>
      <xdr:col>6</xdr:col>
      <xdr:colOff>559594</xdr:colOff>
      <xdr:row>38</xdr:row>
      <xdr:rowOff>14286</xdr:rowOff>
    </xdr:to>
    <xdr:graphicFrame macro="">
      <xdr:nvGraphicFramePr>
        <xdr:cNvPr id="7" name="Chart 6">
          <a:extLst>
            <a:ext uri="{FF2B5EF4-FFF2-40B4-BE49-F238E27FC236}">
              <a16:creationId xmlns:a16="http://schemas.microsoft.com/office/drawing/2014/main" id="{8CDB43C3-B13B-40D9-A709-4113197C9C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217883</xdr:colOff>
      <xdr:row>37</xdr:row>
      <xdr:rowOff>64293</xdr:rowOff>
    </xdr:from>
    <xdr:to>
      <xdr:col>18</xdr:col>
      <xdr:colOff>595312</xdr:colOff>
      <xdr:row>55</xdr:row>
      <xdr:rowOff>90486</xdr:rowOff>
    </xdr:to>
    <xdr:graphicFrame macro="">
      <xdr:nvGraphicFramePr>
        <xdr:cNvPr id="2" name="Chart 1">
          <a:extLst>
            <a:ext uri="{FF2B5EF4-FFF2-40B4-BE49-F238E27FC236}">
              <a16:creationId xmlns:a16="http://schemas.microsoft.com/office/drawing/2014/main" id="{A46C2B6E-958E-4F1B-8CC7-BE0CB54EA7A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607218</xdr:colOff>
      <xdr:row>40</xdr:row>
      <xdr:rowOff>200026</xdr:rowOff>
    </xdr:from>
    <xdr:to>
      <xdr:col>6</xdr:col>
      <xdr:colOff>11906</xdr:colOff>
      <xdr:row>54</xdr:row>
      <xdr:rowOff>119061</xdr:rowOff>
    </xdr:to>
    <xdr:graphicFrame macro="">
      <xdr:nvGraphicFramePr>
        <xdr:cNvPr id="2" name="Chart 1">
          <a:extLst>
            <a:ext uri="{FF2B5EF4-FFF2-40B4-BE49-F238E27FC236}">
              <a16:creationId xmlns:a16="http://schemas.microsoft.com/office/drawing/2014/main" id="{9F175927-B301-4441-AB2D-67647C70E5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SAUPCU.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omputer7\haribhakti%20&amp;\WINDOWS\Desktop\Balance%20sheet%20271120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1881\&#47928;&#49436;&#49688;&#48156;&#49888;\&#51473;&#51109;&#44592;&#44221;&#50689;&#44228;&#54925;\9,9&#51217;&#49688;(&#48372;&#44256;&#45236;&#50857;)\&#48372;&#44256;&#49436;&#50857;\Book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juupmoo\goo\&#46020;&#51109;&#53685;&#54633;\&#48513;&#51228;&#51452;&#46020;&#47732;&#48324;&#49328;&#52636;&#44540;&#4414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juupmoo\goo\&#46020;&#51109;&#53685;&#54633;\&#49464;&#51652;&#49444;&#50672;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juupmoo\goo\&#46020;&#51109;&#53685;&#54633;\&#49464;&#51652;&#49444;&#50672;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juupmoo\goo\&#46020;&#51109;&#53685;&#54633;\&#54620;&#51204;&#51228;&#52636;1&#5226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Jayesh%20Chauhan/Jayesh/Working%20Folder/Energy/TC/TC%20FY%2008-09_291108_Mumbai.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er/Documents/D%20Drive/Puja%20Gupta/TPC%20-D%20APR%20FY%2011/Excel%20Workings/Tata%20Power-D%20APR%20FY%202010-11_MERC%20Capex%20R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2395\c\Share\&#51068;&#48152;\&#49892;&#54665;&#50696;&#49328;&#54200;&#49457;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50857;&#50669;&#49688;&#54665;\1X563\&#44277;&#49324;&#49444;&#44228;&#49436;\MC-07&#48376;&#49324;\&#49464;&#51652;&#49444;&#5067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EKA&#44608;&#50689;&#46160;\C\9624\&#49324;&#50629;&#52628;&#5122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Tech1\EMAIL\Performance\PERFORMANCE\ocm\Yearly_perf\OCMJAN200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51204;&#50689;&#44428;\C\WIN98\TEMP\REPORT0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H:\Performance\PERFORMANCE\ocm\Yearly_perf\OCMJAN200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Jjphilips\xlsjjp\mseb%20Jan%200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50857;&#50669;&#49688;&#54665;\1X563\&#44277;&#49324;&#49444;&#44228;&#49436;\MC-07&#48376;&#49324;\&#54620;&#51204;&#51228;&#52636;1&#5226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H:\WIN98\TEMP\REPORT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50857;&#50669;&#49688;&#54665;\1X563\&#44277;&#49324;&#49444;&#44228;&#49436;\MC-07&#48376;&#49324;\&#48513;&#51228;&#51452;&#46020;&#47732;&#48324;&#49328;&#52636;&#44540;&#4414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WIN98/TEMP/REPORT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WIN98\TEMP\REPORT0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omp10\c\WINDOWS\Desktop\Latest%20revised%20Cost%20Estimates%20for%20Substa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YDDATA/&#44208;&#49328;979/HDLAN/MAIL/08&#49324;&#51109;&#4580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NS\Plant\&#47785;&#50857;&#44053;\MANUAL\calculation\DESIGN57.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LC/KDS/NSSS/1000MW/CEDM/CEDM.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GRID%20Energy/Work/MSPGCL%20True%20Up%20Fy%202010-11/Earlier%20Orders/EXCEL%20MODELS%20FINAL/PwC_MSPGCL_20.12.2011.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Official/MIS%20FY05-06/12-Mar%2006/Official/MIS%20FY05-06/09-Dec%2005/Quarterwise%20Details%20-%20Q3(tax)%20FY%2006_190106(fin%20ch).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H1164\d\&#51473;&#51109;&#44592;&#44221;&#50689;&#44228;&#54925;\9,9&#51217;&#49688;(&#48372;&#44256;&#45236;&#50857;)\&#48372;&#44256;&#49436;&#50857;\Book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server\btps%20temp%20data\EFFY\Effy-Cost%20DD\Yearly%20data.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snehal/ABP%20FY07/Qtrwise%20Versions/ABP%20250606/Quarterwise%20details%20FY07%2025-06-06.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44204;&#51201;_TEST_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47106\&#44592;&#44228;BM&#51221;&#47532;\lee\project\&#54644;&#50808;\southpars\BMFILE\Lnx$LPS-A301(Excel)_.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47106\&#44592;&#44228;BM&#51221;&#47532;\lee\project\&#54644;&#50808;\southpars\BMFILE\CODE509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DOWS/TEMP/XlsGJB/Share/Financial%20Estimate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WINDOWS/Desktop/Current/Oil%20Price%20Trend.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Documents%20and%20Settings/h112728/My%20Documents/ACE%20&#49688;&#54665;&#50629;&#47924;%20ACE/01%20Project/04%20Zawia%20Cond/&#50696;&#49328;&#44288;&#47532;/&#47785;&#54364;&#50696;&#49328;/&#54408;&#51032;&#49436;%20&#52392;&#48512;%20&#51088;&#47308;/&#44204;&#51201;%20&#51088;&#47308;/Doc/Proposal/U.A%20Extension/2&#52264;%20&#44204;&#51201;/PROPOSAL%20LIST-082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Mserver\Users\skedia\Documents\MSPGCL%20FY12%20ARR%20Petition%20and%20Model%2031Mar11\ARR%20formats%20SM%2029Mar1940_old.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A:\suresh\Power\MSEB\MSEB%2001-02\Data\Dispatch%202.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User126\perf\Performance\PERFORMANCE\CE_FILE\Erai_dam\Water%20_balance_Dec04.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Mserver\Users\skedia\Desktop\MSPGCL%20Main%20Folder\Revised%20True-up%20&amp;%20APR\Workings\Annexure%202_revised.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IMACS/ICRA/IMaCS/W-5/BEST%20Tariff%20Filing/Data_%20for%20Mid%20term%20review%20Petition_for%20ICRA/Data%20Recieved%20by%20BEST%20(Email)%20on%2023.07.2014/True-Up%20FY%202012-13/fwdtrueupforf_y201213/unirecord_12-13q4.1.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51204;&#50689;&#44428;\C\WIN98\TEMP\JO9707.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Documents%20and%20Settings/vishalmakwana/Local%20Settings/Temporary%20Internet%20Files/OLK28/Shraddha/Cashflow/CB%20CASH%20FLOW-25-01%20(version%202).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Users/himanshu.chawla/Desktop/MSETCL_PIS/Revised%20Model%204%20July/SK%20Sir%20Mail/Final%20Sent%206.07.2013/Users/himanshu.chawla/Desktop/MSETCL_PIS/Hasnain%20Mail/201-04REL-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Purushotham/Local%20Settings/Temporary%20Internet%20Files/OLK33/XlsGJB/Share/Financial%20Estimates.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M:\Documents%20and%20Settings\TPCL\My%20Documents\pcbackup\Puru\Sales%20&amp;%20Revenue%20Reports\FY%202004-05\TarSumm%20FY05%20-%20JAN%2005.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Databank/1-Projects%20In%20Hand/DFID/ARR%202003-04/Arr%20Petition%202003-04/For%20Submission/ARR%20Forms%20For%20Submission.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H:\Pack'(A)\&#45817;&#51652;-A2.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Pack'(A)\&#45817;&#51652;-A2.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Pack'(A)/&#45817;&#51652;-A2.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A:\KHI.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Assignments/MERC%20-%20TPC%20-%20Tariff/Tata%20MYT%20FY%202008-10/Base%20Data/Sales/Mumbai_Merit_Order_FY08.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Documents%20and%20Settings/TPCL/My%20Documents/pcbackup/Puru/Sales%20&amp;%20Revenue%20Reports/FY%202004-05/TarSumm%20FY05%20-%20JAN%2005.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User21\shared%20doc\ARR%202.6%20REV\Performance\PERFORMANCE\ocm\Yearly_perf\OCMJAN2000.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Documents%20and%20Settings/jyotimm/Local%20Settings/Temporary%20Internet%20Files/OLK30/Open%20access%20charges%20-%20single%20shee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y%20Documents/pcbackup/Puru/ABP%20FY06/Sale%20Estimates%20Ver%209%20(U4%20On%20Line,%20New%20Cust%20&amp;%203%20Yrs%20Proj).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My%20Documents/My%20Data/&#22283;&#20839;&#35211;&#32318;/Young_do/&#54788;&#44277;&#49324;&#49444;&#44228;&#49436;.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Documents%20and%20Settings/anurag/My%20Documents/petitions/Petition%20for%20trans%20ARR.doc/Databank/1-Projects%20In%20Hand/DFID/ARR%202003-04/Arr%20Petition%202003-04/For%20Submission/ARR%20Forms%20For%20Submission.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My%20Documents/pcbackup/Puru/Fuel%20Adjustment%20Charges%20(FAC)/FAC%20FY07/Sept-06/FAC_Sept%2006.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Assignments/TATA/MYT%20FY%202011-2015/Base%20Data/Incentive/REL_BEST%20Bill%20September%2008.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Documents%20and%20Settings/Kapse/Local%20Settings/Temp/Official/MIS%20FY05-06/09-Dec%2005/Quarterwise%20Details%20-%20Q3(tax)%20FY%2006_190106(fin%20ch).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A:\&#50857;&#50669;&#49688;&#54665;\1X563\&#44277;&#49324;&#49444;&#44228;&#49436;\MC-07&#48376;&#49324;\&#49464;&#51652;&#49444;&#50672;2.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IMACS/ICRA/IMaCS/W-5/BEST%20Tariff%20Filing/Data_%20for%20Mid%20term%20review%20Petition_for%20ICRA/Data%20Recieved%20by%20BEST%20(Email)%20on%2023.07.2014/True-Up%20FY%202012-13/fwdtrueupforf_y201213/Balance_sheet_Accounts_12-13.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Sameer's%20folder/MSEB/Tariff%20Filing%202003-04/Outputs/Models/Working%20Models/old/Dispatch%202.0.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Hn035\c\COE\CSG\BDVMPL.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omputer7\haribhakti%20&amp;\Old%20Working\XLS\Regrouping%20of%20BS_P&amp;L_ol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nehal/Regulatory/Disagg%20ARR%20FY06_June05/MERC%20Follow%20up_documents/Backup%20Input%20Data%20Files/Dis-Agg%20ARR%20-%20MERC%20Formats/ARR%20FY%202005-06%20170106/GTD_Capital%20Base_3%20yrs_050106.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temp/&#51204;&#44221;&#51652;/FORMOSA/Q98-014/r51p5030.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Documents%20and%20Settings/Percy%20H%20Edibam/My%20Documents/Percy/CRD/Nov%2005/FY06%20B100%20MIS%20format%20Nov%2005.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172.16.201.79\disaggregate\Final%20Write%20up,%20Tables%20and%20Model_II\wagle\B040tob068_short.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Documents%20and%20Settings/h112728/My%20Documents/ACE%20&#49688;&#54665;&#50629;&#47924;%20ACE/01%20Project/04%20Zawia%20Cond/&#50696;&#49328;&#44288;&#47532;/&#47785;&#54364;&#50696;&#49328;/&#54408;&#51032;&#49436;%20&#52392;&#48512;%20&#51088;&#47308;/&#44204;&#51201;%20&#51088;&#47308;/Zawia%20&#47785;&#54364;&#50696;&#49328;%20(&#54788;&#45824;&#44148;&#49444;_2004.10.26).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OFFICIAL/MIS/MIS%20FY%2005-06/12-Mar%2006/Board/Qtly%20Details%20-%20Q4%20FY%2006%20(Link-BoD).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H:\Documents%20and%20Settings\parun\My%20Documents\Arun\Industrial%20energy%20Limited\June%20qrtr%2008\revised%20icd.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Documents%20and%20Settings/parun/My%20Documents/Arun/Industrial%20energy%20Limited/June%20qrtr%2008/revised%20icd.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C:\Documents%20and%20Settings\parun\My%20Documents\Arun\Industrial%20energy%20Limited\June%20qrtr%2008\revised%20icd.xls" TargetMode="External"/></Relationships>
</file>

<file path=xl/externalLinks/_rels/externalLink78.xml.rels><?xml version="1.0" encoding="UTF-8" standalone="yes"?>
<Relationships xmlns="http://schemas.openxmlformats.org/package/2006/relationships"><Relationship Id="rId1" Type="http://schemas.microsoft.com/office/2006/relationships/xlExternalLinkPath/xlPathMissing" Target="Worksheet%20in%208703%20EFFECTIVE%20TAX%20RATE"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I:\Performance\PERFORMANCE\ocm\Yearly_perf\OCMJAN20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nant\commercial\WINDOWS\TEMP\XlsGJB\Share\Financial%20Estimates.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SHICO\&#49444;&#44228;&#48512;\&#49444;&#44228;&#44204;&#51201;\&#44204;&#51201;&#49436;-2.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h:\My%20Documents\&#48652;&#46972;&#51656;%20T.L&#48264;&#54840;&#49692;(1.336)(FINAL).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51060;&#52285;&#49885;/clamp.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My%20Documents/co-gen/cspdata/TAIWAN/P-RACK/FURNACE.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49440;&#48120;\C\&#51116;&#47308;&#51312;&#49436;&#51089;&#49457;\&#54812;&#50689;\VBA\&#50641;&#49472;&#48708;&#48288;\&#50672;&#46041;&#53092;&#48372;&#50696;&#51228;.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WIN98/TEMP/JO9707.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51204;&#50689;&#44428;\C\HDLAN\MAIL\08&#49324;&#51109;&#45800;.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Documents%20and%20Settings/h112728/My%20Documents/ACE%20&#49688;&#54665;&#50629;&#47924;%20ACE/01%20Project/04%20Zawia%20Cond/&#50696;&#49328;&#44288;&#47532;/&#47785;&#54364;&#50696;&#49328;/&#54408;&#51032;&#49436;%20&#52392;&#48512;%20&#51088;&#47308;/&#44204;&#51201;%20&#51088;&#47308;/Doc/Proposal/U.A%20Extension/&#44204;&#51201;&#44592;&#51456;%20&#52280;&#51312;.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http://www35.daum.net/WIN98/TEMP/0INV/HEC/SHIP-SCH.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http://www35.daum.net/WIN98/TEMP/REPORT0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1-04REL-Final.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H3524\map\MAP&#47588;&#45684;&#50620;&#52572;&#51333;(2&#52264;&#44060;&#51221;).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Users/pkhairnar/Documents/KRC/pkhairnar/Serene%20&amp;%20SEDL/Imp/MERC/MYT%20Final/MBPPL%20MYT%20Petition%20-%20Revised%20Formats%20-%20submit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 사업추정(WEKI)"/>
      <sheetName val="97_사업추정(WEKI)"/>
    </sheetNames>
    <sheetDataSet>
      <sheetData sheetId="0" refreshError="1"/>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
      <sheetName val="Schedule 1"/>
      <sheetName val="BEST_17112006"/>
      <sheetName val="Cash at Bank"/>
      <sheetName val="B_S Group"/>
      <sheetName val="Notes"/>
      <sheetName val="P&amp;L Group"/>
    </sheetNames>
    <sheetDataSet>
      <sheetData sheetId="0"/>
      <sheetData sheetId="1">
        <row r="2">
          <cell r="B2" t="str">
            <v>SCHEDULE 1</v>
          </cell>
        </row>
      </sheetData>
      <sheetData sheetId="2">
        <row r="13">
          <cell r="C13">
            <v>1</v>
          </cell>
        </row>
        <row r="15">
          <cell r="C15">
            <v>2</v>
          </cell>
        </row>
        <row r="20">
          <cell r="C20">
            <v>3</v>
          </cell>
        </row>
        <row r="30">
          <cell r="C30">
            <v>5</v>
          </cell>
        </row>
        <row r="77">
          <cell r="C77">
            <v>17</v>
          </cell>
        </row>
        <row r="111">
          <cell r="A111" t="str">
            <v>SCHEDULE 2</v>
          </cell>
        </row>
        <row r="128">
          <cell r="A128" t="str">
            <v>SCHEDULE 4</v>
          </cell>
        </row>
        <row r="165">
          <cell r="A165" t="str">
            <v>SCHEDULE 5</v>
          </cell>
        </row>
        <row r="174">
          <cell r="A174" t="str">
            <v>SCHEDULE 6</v>
          </cell>
        </row>
        <row r="206">
          <cell r="A206" t="str">
            <v>SCHEDULE 7</v>
          </cell>
        </row>
        <row r="225">
          <cell r="A225" t="str">
            <v>SCHEDULE 8</v>
          </cell>
        </row>
        <row r="248">
          <cell r="A248" t="str">
            <v>SCHEDULE 9</v>
          </cell>
        </row>
        <row r="303">
          <cell r="A303" t="str">
            <v>SCHEDULE 10</v>
          </cell>
        </row>
        <row r="358">
          <cell r="A358" t="str">
            <v>SCHEDULE 11</v>
          </cell>
        </row>
        <row r="364">
          <cell r="A364" t="str">
            <v>SCHEDULE 12</v>
          </cell>
        </row>
        <row r="381">
          <cell r="A381" t="str">
            <v>SCHEDULE 13</v>
          </cell>
        </row>
        <row r="391">
          <cell r="A391" t="str">
            <v>SCHEDULE 14</v>
          </cell>
        </row>
        <row r="415">
          <cell r="A415" t="str">
            <v>SCHEDULE 15</v>
          </cell>
          <cell r="D415" t="str">
            <v>in Lacs</v>
          </cell>
          <cell r="E415" t="str">
            <v>in Lacs</v>
          </cell>
          <cell r="F415" t="str">
            <v>in Lacs</v>
          </cell>
          <cell r="G415" t="str">
            <v>in Lacs</v>
          </cell>
          <cell r="H415" t="str">
            <v>in Lacs</v>
          </cell>
          <cell r="I415" t="str">
            <v>in Lacs</v>
          </cell>
          <cell r="J415" t="str">
            <v>in Lacs</v>
          </cell>
          <cell r="K415" t="str">
            <v>in Lacs</v>
          </cell>
          <cell r="L415" t="str">
            <v>in Lacs</v>
          </cell>
        </row>
        <row r="417">
          <cell r="A417" t="str">
            <v>Purchase of Electricity</v>
          </cell>
          <cell r="E417">
            <v>112229.46461</v>
          </cell>
          <cell r="G417">
            <v>0</v>
          </cell>
          <cell r="I417">
            <v>112229.46461</v>
          </cell>
          <cell r="J417">
            <v>108981.20299999999</v>
          </cell>
          <cell r="K417">
            <v>0</v>
          </cell>
          <cell r="L417">
            <v>108981.20299999999</v>
          </cell>
        </row>
        <row r="419">
          <cell r="B419" t="str">
            <v>TOTAL</v>
          </cell>
          <cell r="E419">
            <v>112229.46461</v>
          </cell>
          <cell r="G419">
            <v>0</v>
          </cell>
          <cell r="I419">
            <v>112229.46461</v>
          </cell>
          <cell r="J419">
            <v>108981.20299999999</v>
          </cell>
          <cell r="K419">
            <v>0</v>
          </cell>
          <cell r="L419">
            <v>108981.20299999999</v>
          </cell>
        </row>
        <row r="428">
          <cell r="A428" t="str">
            <v>SCHEDULE 16</v>
          </cell>
        </row>
        <row r="493">
          <cell r="A493" t="str">
            <v>SCHEDULE 17</v>
          </cell>
          <cell r="E493" t="str">
            <v>(31.03.2006)</v>
          </cell>
          <cell r="G493" t="str">
            <v>(31.03.2006)</v>
          </cell>
          <cell r="I493" t="str">
            <v>(31.03.2006)</v>
          </cell>
          <cell r="J493" t="str">
            <v>(31.03.2005)</v>
          </cell>
        </row>
        <row r="494">
          <cell r="A494" t="str">
            <v>INTEREST AND FINANCE CHARGES</v>
          </cell>
          <cell r="D494" t="str">
            <v>Rupees</v>
          </cell>
          <cell r="E494" t="str">
            <v>Rupees</v>
          </cell>
          <cell r="F494" t="str">
            <v>Rupees</v>
          </cell>
          <cell r="G494" t="str">
            <v>Rupees</v>
          </cell>
          <cell r="H494" t="str">
            <v>Rupees</v>
          </cell>
          <cell r="I494" t="str">
            <v>Rupees</v>
          </cell>
          <cell r="J494" t="str">
            <v>Rupees</v>
          </cell>
        </row>
        <row r="495">
          <cell r="D495" t="str">
            <v>in Lacs</v>
          </cell>
          <cell r="E495" t="str">
            <v>in Lacs</v>
          </cell>
          <cell r="F495" t="str">
            <v>in Lacs</v>
          </cell>
          <cell r="G495" t="str">
            <v>in Lacs</v>
          </cell>
          <cell r="H495" t="str">
            <v>in Lacs</v>
          </cell>
          <cell r="I495" t="str">
            <v>in Lacs</v>
          </cell>
          <cell r="J495" t="str">
            <v>in lacs</v>
          </cell>
        </row>
        <row r="497">
          <cell r="A497" t="str">
            <v>Interest Charges</v>
          </cell>
          <cell r="E497">
            <v>529.23343999999997</v>
          </cell>
          <cell r="J497">
            <v>389.13197000000002</v>
          </cell>
        </row>
        <row r="498">
          <cell r="B498" t="str">
            <v>TOTAL</v>
          </cell>
          <cell r="E498">
            <v>529.23343999999997</v>
          </cell>
          <cell r="I498">
            <v>0</v>
          </cell>
          <cell r="J498">
            <v>389.13197000000002</v>
          </cell>
        </row>
        <row r="503">
          <cell r="I503" t="str">
            <v>(31.03.2006)</v>
          </cell>
        </row>
        <row r="504">
          <cell r="A504" t="str">
            <v>SCHEDULE 18</v>
          </cell>
          <cell r="E504" t="str">
            <v>Year ended</v>
          </cell>
          <cell r="G504" t="str">
            <v>Year ended</v>
          </cell>
          <cell r="I504" t="str">
            <v>Year ended</v>
          </cell>
          <cell r="J504" t="str">
            <v>Year ended</v>
          </cell>
        </row>
        <row r="505">
          <cell r="A505" t="str">
            <v>PRIOR PERIOD ADJUSTMENTS</v>
          </cell>
          <cell r="E505" t="str">
            <v>(31.03.2006)</v>
          </cell>
          <cell r="G505" t="str">
            <v>(31.03.2006)</v>
          </cell>
          <cell r="I505" t="str">
            <v>(31.03.2006)</v>
          </cell>
          <cell r="J505" t="str">
            <v>(31.03.2005)</v>
          </cell>
        </row>
        <row r="506">
          <cell r="D506" t="str">
            <v>Rupees</v>
          </cell>
          <cell r="E506" t="str">
            <v>Rupees</v>
          </cell>
          <cell r="F506" t="str">
            <v>Rupees</v>
          </cell>
          <cell r="G506" t="str">
            <v>Rupees</v>
          </cell>
          <cell r="H506" t="str">
            <v>Rupees</v>
          </cell>
          <cell r="I506" t="str">
            <v>Rupees</v>
          </cell>
          <cell r="J506" t="str">
            <v>Rupees</v>
          </cell>
        </row>
        <row r="507">
          <cell r="D507" t="str">
            <v>in Lacs</v>
          </cell>
          <cell r="E507" t="str">
            <v>in Lacs</v>
          </cell>
          <cell r="F507" t="str">
            <v>in Lacs</v>
          </cell>
          <cell r="G507" t="str">
            <v>in Lacs</v>
          </cell>
          <cell r="H507" t="str">
            <v>in Lacs</v>
          </cell>
          <cell r="I507" t="str">
            <v>in Lacs</v>
          </cell>
          <cell r="J507" t="str">
            <v>in lacs</v>
          </cell>
        </row>
        <row r="508">
          <cell r="A508" t="str">
            <v>PRIOR PERIOD INCOME</v>
          </cell>
        </row>
        <row r="510">
          <cell r="A510" t="str">
            <v>Profit on Sale of Asset</v>
          </cell>
          <cell r="E510">
            <v>3146.1492244926098</v>
          </cell>
          <cell r="I510">
            <v>0</v>
          </cell>
        </row>
        <row r="511">
          <cell r="A511" t="str">
            <v>Supply Division</v>
          </cell>
          <cell r="E511">
            <v>1320.6718354000002</v>
          </cell>
          <cell r="I511">
            <v>0</v>
          </cell>
        </row>
        <row r="513">
          <cell r="E513">
            <v>4466.8210598926098</v>
          </cell>
          <cell r="I513">
            <v>0</v>
          </cell>
        </row>
        <row r="514">
          <cell r="A514" t="str">
            <v>PRIOR PERIOD EXPENSE</v>
          </cell>
        </row>
        <row r="516">
          <cell r="A516" t="str">
            <v>Supply Division</v>
          </cell>
          <cell r="E516">
            <v>0</v>
          </cell>
          <cell r="I516">
            <v>155.5388762</v>
          </cell>
          <cell r="J516">
            <v>277.23556259999998</v>
          </cell>
          <cell r="K516">
            <v>0</v>
          </cell>
          <cell r="L516">
            <v>277.23556259999998</v>
          </cell>
        </row>
        <row r="517">
          <cell r="A517" t="str">
            <v>General Administration</v>
          </cell>
          <cell r="E517">
            <v>53.643831695999999</v>
          </cell>
          <cell r="I517">
            <v>53.643831695999999</v>
          </cell>
          <cell r="J517">
            <v>326.71346051799998</v>
          </cell>
          <cell r="K517">
            <v>0</v>
          </cell>
          <cell r="L517">
            <v>326.71346051799998</v>
          </cell>
        </row>
        <row r="519">
          <cell r="B519" t="str">
            <v>TOTAL</v>
          </cell>
          <cell r="E519">
            <v>-4413.1772281966096</v>
          </cell>
          <cell r="I519">
            <v>209.18270789600001</v>
          </cell>
          <cell r="J519">
            <v>603.94902311800001</v>
          </cell>
          <cell r="L519">
            <v>603.94902311800001</v>
          </cell>
        </row>
        <row r="541">
          <cell r="A541" t="str">
            <v>SCHEDULE 3</v>
          </cell>
        </row>
      </sheetData>
      <sheetData sheetId="3"/>
      <sheetData sheetId="4">
        <row r="15">
          <cell r="H15" t="str">
            <v>See Notes 1</v>
          </cell>
        </row>
        <row r="20">
          <cell r="H20" t="str">
            <v>See Notes 1</v>
          </cell>
        </row>
        <row r="21">
          <cell r="H21" t="str">
            <v>(Refer Note2)</v>
          </cell>
        </row>
        <row r="23">
          <cell r="H23" t="str">
            <v>Note 3</v>
          </cell>
        </row>
        <row r="31">
          <cell r="H31" t="str">
            <v>Notes 4</v>
          </cell>
        </row>
        <row r="46">
          <cell r="H46" t="str">
            <v>See Notes 5</v>
          </cell>
        </row>
        <row r="67">
          <cell r="H67" t="str">
            <v>Notes 6</v>
          </cell>
        </row>
        <row r="83">
          <cell r="H83" t="str">
            <v>Notes 7</v>
          </cell>
        </row>
        <row r="94">
          <cell r="H94" t="str">
            <v>Notes 8</v>
          </cell>
        </row>
        <row r="103">
          <cell r="H103" t="str">
            <v>Notes 9</v>
          </cell>
        </row>
        <row r="107">
          <cell r="H107" t="str">
            <v>Notes 10</v>
          </cell>
        </row>
        <row r="120">
          <cell r="H120" t="str">
            <v>Notes  11</v>
          </cell>
        </row>
        <row r="129">
          <cell r="H129" t="str">
            <v>Notes 12</v>
          </cell>
        </row>
        <row r="161">
          <cell r="H161" t="str">
            <v>Notes 13</v>
          </cell>
        </row>
        <row r="199">
          <cell r="H199" t="str">
            <v>Notes 14</v>
          </cell>
        </row>
        <row r="213">
          <cell r="H213" t="str">
            <v>Notes 16</v>
          </cell>
        </row>
        <row r="229">
          <cell r="H229" t="str">
            <v>Note 26</v>
          </cell>
        </row>
        <row r="251">
          <cell r="H251" t="str">
            <v>Notes 17</v>
          </cell>
        </row>
        <row r="258">
          <cell r="H258" t="str">
            <v xml:space="preserve"> Notes 18</v>
          </cell>
        </row>
        <row r="269">
          <cell r="H269" t="str">
            <v>Notes 19</v>
          </cell>
        </row>
        <row r="277">
          <cell r="H277" t="str">
            <v>Notes 20</v>
          </cell>
        </row>
        <row r="284">
          <cell r="H284" t="str">
            <v>Notes 21</v>
          </cell>
        </row>
        <row r="303">
          <cell r="H303" t="str">
            <v>Notes 22</v>
          </cell>
        </row>
        <row r="348">
          <cell r="H348" t="str">
            <v>Notes 23</v>
          </cell>
        </row>
        <row r="349">
          <cell r="H349" t="str">
            <v>Notes 24</v>
          </cell>
        </row>
        <row r="434">
          <cell r="H434" t="str">
            <v>Notes 25</v>
          </cell>
        </row>
      </sheetData>
      <sheetData sheetId="5">
        <row r="3">
          <cell r="A3" t="str">
            <v>1)</v>
          </cell>
        </row>
        <row r="6">
          <cell r="A6" t="str">
            <v>2)</v>
          </cell>
        </row>
        <row r="8">
          <cell r="A8" t="str">
            <v>3)</v>
          </cell>
        </row>
        <row r="13">
          <cell r="A13">
            <v>4</v>
          </cell>
        </row>
        <row r="15">
          <cell r="A15">
            <v>5</v>
          </cell>
        </row>
        <row r="17">
          <cell r="A17">
            <v>6</v>
          </cell>
        </row>
        <row r="19">
          <cell r="A19">
            <v>7</v>
          </cell>
        </row>
        <row r="21">
          <cell r="A21">
            <v>8</v>
          </cell>
        </row>
        <row r="23">
          <cell r="A23">
            <v>9</v>
          </cell>
        </row>
        <row r="27">
          <cell r="A27">
            <v>11</v>
          </cell>
        </row>
        <row r="31">
          <cell r="A31">
            <v>13</v>
          </cell>
        </row>
        <row r="33">
          <cell r="A33">
            <v>14</v>
          </cell>
        </row>
        <row r="35">
          <cell r="A35">
            <v>15</v>
          </cell>
        </row>
        <row r="39">
          <cell r="A39">
            <v>17</v>
          </cell>
        </row>
        <row r="43">
          <cell r="A43">
            <v>19</v>
          </cell>
        </row>
        <row r="47">
          <cell r="A47">
            <v>21</v>
          </cell>
        </row>
        <row r="49">
          <cell r="A49">
            <v>22</v>
          </cell>
        </row>
        <row r="51">
          <cell r="A51">
            <v>23</v>
          </cell>
        </row>
        <row r="53">
          <cell r="A53">
            <v>24</v>
          </cell>
        </row>
        <row r="55">
          <cell r="A55">
            <v>25</v>
          </cell>
        </row>
        <row r="61">
          <cell r="A61">
            <v>26</v>
          </cell>
        </row>
      </sheetData>
      <sheetData sheetId="6">
        <row r="24">
          <cell r="F24" t="str">
            <v>See Annexure B</v>
          </cell>
        </row>
        <row r="58">
          <cell r="A58" t="str">
            <v>(ANNEXURE 'A')</v>
          </cell>
        </row>
        <row r="68">
          <cell r="A68" t="str">
            <v>(ANNEXURE 'A')</v>
          </cell>
        </row>
        <row r="90">
          <cell r="A90" t="str">
            <v>ANNEXURE( B )</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96상2"/>
      <sheetName val="해외 기술훈련비 (합계)"/>
      <sheetName val="해외 연수비용 계산-삭제"/>
      <sheetName val="Book2"/>
      <sheetName val="카메라"/>
      <sheetName val="#REF"/>
      <sheetName val="자바라1"/>
      <sheetName val="투자종합 (2)"/>
      <sheetName val="해외_기술훈련비_(합계)"/>
      <sheetName val="해외_연수비용_계산-삭제"/>
      <sheetName val="투자종합_(2)"/>
    </sheetNames>
    <definedNames>
      <definedName name="BULYANGPNT"/>
      <definedName name="GUESTPNT"/>
      <definedName name="MONITORPNT"/>
      <definedName name="RTPNT"/>
      <definedName name="UTPNT"/>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현장배관물량집계"/>
      <sheetName val="현장SUPP'T물량집계"/>
      <sheetName val="Valve집계"/>
      <sheetName val="현장배관물량"/>
      <sheetName val="현장지지물물량"/>
      <sheetName val="현장집계3"/>
      <sheetName val="Sheet1"/>
      <sheetName val="설산1_나"/>
      <sheetName val="본사S"/>
      <sheetName val="설산1.나"/>
    </sheetNames>
    <sheetDataSet>
      <sheetData sheetId="0" refreshError="1"/>
      <sheetData sheetId="1" refreshError="1"/>
      <sheetData sheetId="2" refreshError="1"/>
      <sheetData sheetId="3" refreshError="1"/>
      <sheetData sheetId="4" refreshError="1">
        <row r="1">
          <cell r="F1" t="str">
            <v>*********************************</v>
          </cell>
        </row>
        <row r="2">
          <cell r="F2" t="str">
            <v>*****   FIELD FAB. SUPPORT  *****</v>
          </cell>
        </row>
        <row r="3">
          <cell r="F3" t="str">
            <v>*********************************</v>
          </cell>
        </row>
        <row r="4">
          <cell r="A4" t="str">
            <v>=</v>
          </cell>
          <cell r="B4" t="str">
            <v>=</v>
          </cell>
          <cell r="C4" t="str">
            <v>=</v>
          </cell>
          <cell r="D4" t="str">
            <v>=</v>
          </cell>
          <cell r="E4" t="str">
            <v>=</v>
          </cell>
          <cell r="F4" t="str">
            <v>=</v>
          </cell>
          <cell r="G4" t="str">
            <v>=</v>
          </cell>
          <cell r="H4" t="str">
            <v>=</v>
          </cell>
          <cell r="I4" t="str">
            <v>=</v>
          </cell>
          <cell r="J4" t="str">
            <v>=</v>
          </cell>
          <cell r="K4" t="str">
            <v>=</v>
          </cell>
          <cell r="L4" t="str">
            <v>=</v>
          </cell>
          <cell r="M4" t="str">
            <v>=</v>
          </cell>
          <cell r="N4" t="str">
            <v>=</v>
          </cell>
          <cell r="Q4" t="str">
            <v>=</v>
          </cell>
        </row>
        <row r="5">
          <cell r="A5" t="str">
            <v>DWG.NO.</v>
          </cell>
          <cell r="B5" t="str">
            <v>SPEC</v>
          </cell>
          <cell r="C5" t="str">
            <v>ITEM</v>
          </cell>
          <cell r="D5" t="str">
            <v>MATERIAL</v>
          </cell>
          <cell r="E5" t="str">
            <v xml:space="preserve">    SIZE</v>
          </cell>
          <cell r="F5" t="str">
            <v>LANGTH</v>
          </cell>
          <cell r="G5" t="str">
            <v>SYS.-DIA</v>
          </cell>
          <cell r="H5" t="str">
            <v>TOTAL</v>
          </cell>
          <cell r="I5" t="str">
            <v>ELEVATION</v>
          </cell>
          <cell r="K5" t="str">
            <v>IN/OUT</v>
          </cell>
          <cell r="L5" t="str">
            <v>UNIT WT</v>
          </cell>
          <cell r="M5" t="str">
            <v>TOTAL WT</v>
          </cell>
          <cell r="N5" t="str">
            <v>REMARK</v>
          </cell>
          <cell r="P5" t="str">
            <v>SET</v>
          </cell>
          <cell r="Q5" t="str">
            <v>Q'TY</v>
          </cell>
        </row>
        <row r="6">
          <cell r="A6" t="str">
            <v>=</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t="str">
            <v>=</v>
          </cell>
          <cell r="Q6" t="str">
            <v>=</v>
          </cell>
        </row>
        <row r="8">
          <cell r="A8" t="str">
            <v>03980-001</v>
          </cell>
          <cell r="C8" t="str">
            <v>H-BEAM</v>
          </cell>
          <cell r="D8" t="str">
            <v>C S</v>
          </cell>
          <cell r="E8" t="str">
            <v>H100x100x6x8</v>
          </cell>
          <cell r="F8">
            <v>670</v>
          </cell>
          <cell r="G8" t="str">
            <v>71200- 80</v>
          </cell>
          <cell r="H8">
            <v>1</v>
          </cell>
          <cell r="I8" t="str">
            <v>7150/5900</v>
          </cell>
        </row>
        <row r="9">
          <cell r="A9" t="str">
            <v>03980-001</v>
          </cell>
          <cell r="C9" t="str">
            <v>H-BEAM</v>
          </cell>
          <cell r="D9" t="str">
            <v>C S</v>
          </cell>
          <cell r="E9" t="str">
            <v>H100x100x6x8</v>
          </cell>
          <cell r="F9">
            <v>820</v>
          </cell>
          <cell r="G9" t="str">
            <v>71200- 80</v>
          </cell>
          <cell r="H9">
            <v>1</v>
          </cell>
          <cell r="I9" t="str">
            <v>7150/5900</v>
          </cell>
        </row>
        <row r="10">
          <cell r="A10" t="str">
            <v>03980-001</v>
          </cell>
          <cell r="C10" t="str">
            <v>CT</v>
          </cell>
          <cell r="D10" t="str">
            <v>C S</v>
          </cell>
          <cell r="E10" t="str">
            <v>CT100x150x6x9</v>
          </cell>
          <cell r="F10">
            <v>300</v>
          </cell>
          <cell r="G10" t="str">
            <v>71200- 80</v>
          </cell>
          <cell r="H10">
            <v>1</v>
          </cell>
          <cell r="I10" t="str">
            <v>7150/5900</v>
          </cell>
        </row>
        <row r="11">
          <cell r="A11" t="str">
            <v>03980-001</v>
          </cell>
          <cell r="C11" t="str">
            <v>PLATE</v>
          </cell>
          <cell r="D11" t="str">
            <v>C S</v>
          </cell>
          <cell r="E11" t="str">
            <v>PL103x70x9t</v>
          </cell>
          <cell r="G11" t="str">
            <v>71200- 80</v>
          </cell>
          <cell r="H11">
            <v>4</v>
          </cell>
          <cell r="I11" t="str">
            <v>7150/5900</v>
          </cell>
        </row>
        <row r="12">
          <cell r="A12" t="str">
            <v>03980-001</v>
          </cell>
          <cell r="C12" t="str">
            <v>CT</v>
          </cell>
          <cell r="D12" t="str">
            <v>C S</v>
          </cell>
          <cell r="E12" t="str">
            <v>CT100x100x5.5x8</v>
          </cell>
          <cell r="F12">
            <v>150</v>
          </cell>
          <cell r="G12" t="str">
            <v>71200- 50</v>
          </cell>
          <cell r="H12">
            <v>1</v>
          </cell>
          <cell r="I12" t="str">
            <v>7150/5900</v>
          </cell>
        </row>
        <row r="14">
          <cell r="A14" t="str">
            <v>03980-002</v>
          </cell>
          <cell r="C14" t="str">
            <v>H-BEAM</v>
          </cell>
          <cell r="D14" t="str">
            <v>C S</v>
          </cell>
          <cell r="E14" t="str">
            <v>H100x100x6x8</v>
          </cell>
          <cell r="F14">
            <v>670</v>
          </cell>
          <cell r="G14" t="str">
            <v>71200- 80</v>
          </cell>
          <cell r="H14">
            <v>1</v>
          </cell>
          <cell r="I14" t="str">
            <v>7150/5900</v>
          </cell>
        </row>
        <row r="15">
          <cell r="A15" t="str">
            <v>03980-002</v>
          </cell>
          <cell r="C15" t="str">
            <v>H-BEAM</v>
          </cell>
          <cell r="D15" t="str">
            <v>C S</v>
          </cell>
          <cell r="E15" t="str">
            <v>H100x100x6x8</v>
          </cell>
          <cell r="F15">
            <v>550</v>
          </cell>
          <cell r="G15" t="str">
            <v>71200- 80</v>
          </cell>
          <cell r="H15">
            <v>1</v>
          </cell>
          <cell r="I15" t="str">
            <v>7150/5900</v>
          </cell>
        </row>
        <row r="16">
          <cell r="A16" t="str">
            <v>03980-002</v>
          </cell>
          <cell r="C16" t="str">
            <v>CT</v>
          </cell>
          <cell r="D16" t="str">
            <v>C S</v>
          </cell>
          <cell r="E16" t="str">
            <v>CT100x150x6x9</v>
          </cell>
          <cell r="F16">
            <v>300</v>
          </cell>
          <cell r="G16" t="str">
            <v>71200- 80</v>
          </cell>
          <cell r="H16">
            <v>1</v>
          </cell>
          <cell r="I16" t="str">
            <v>7150/5900</v>
          </cell>
        </row>
        <row r="17">
          <cell r="A17" t="str">
            <v>03980-002</v>
          </cell>
          <cell r="C17" t="str">
            <v>PLATE</v>
          </cell>
          <cell r="D17" t="str">
            <v>C S</v>
          </cell>
          <cell r="E17" t="str">
            <v>PL103x70x9t</v>
          </cell>
          <cell r="G17" t="str">
            <v>71200- 80</v>
          </cell>
          <cell r="H17">
            <v>4</v>
          </cell>
          <cell r="I17" t="str">
            <v>7150/5900</v>
          </cell>
        </row>
        <row r="19">
          <cell r="A19" t="str">
            <v>03980-003</v>
          </cell>
          <cell r="C19" t="str">
            <v>CT</v>
          </cell>
          <cell r="D19" t="str">
            <v>C S</v>
          </cell>
          <cell r="E19" t="str">
            <v>CT100x150x6x9</v>
          </cell>
          <cell r="F19">
            <v>300</v>
          </cell>
          <cell r="G19" t="str">
            <v>71200- 80</v>
          </cell>
          <cell r="H19">
            <v>1</v>
          </cell>
          <cell r="I19" t="str">
            <v>7150/5900</v>
          </cell>
        </row>
        <row r="20">
          <cell r="A20" t="str">
            <v>03980-003</v>
          </cell>
          <cell r="C20" t="str">
            <v>PLATE</v>
          </cell>
          <cell r="D20" t="str">
            <v>C S</v>
          </cell>
          <cell r="E20" t="str">
            <v>PL103x70x9t</v>
          </cell>
          <cell r="G20" t="str">
            <v>71200- 80</v>
          </cell>
          <cell r="H20">
            <v>8</v>
          </cell>
          <cell r="I20" t="str">
            <v>7150/5900</v>
          </cell>
        </row>
        <row r="21">
          <cell r="A21" t="str">
            <v>03980-003</v>
          </cell>
          <cell r="C21" t="str">
            <v>PLATE</v>
          </cell>
          <cell r="D21" t="str">
            <v>C S</v>
          </cell>
          <cell r="E21" t="str">
            <v>PL100x50x12t</v>
          </cell>
          <cell r="G21" t="str">
            <v>71200- 80</v>
          </cell>
          <cell r="H21">
            <v>4</v>
          </cell>
          <cell r="I21" t="str">
            <v>7150/5900</v>
          </cell>
        </row>
        <row r="22">
          <cell r="A22" t="str">
            <v>03980-003</v>
          </cell>
          <cell r="C22" t="str">
            <v>PLATE</v>
          </cell>
          <cell r="D22" t="str">
            <v>C S</v>
          </cell>
          <cell r="E22" t="str">
            <v>PL80x50x9t</v>
          </cell>
          <cell r="G22" t="str">
            <v>71200- 80</v>
          </cell>
          <cell r="H22">
            <v>4</v>
          </cell>
          <cell r="I22" t="str">
            <v>7150/5900</v>
          </cell>
        </row>
        <row r="24">
          <cell r="A24" t="str">
            <v>03980-004</v>
          </cell>
          <cell r="C24" t="str">
            <v>CT</v>
          </cell>
          <cell r="D24" t="str">
            <v>C S</v>
          </cell>
          <cell r="E24" t="str">
            <v>CT100x150x6x9</v>
          </cell>
          <cell r="F24">
            <v>300</v>
          </cell>
          <cell r="G24" t="str">
            <v>71200- 80</v>
          </cell>
          <cell r="H24">
            <v>1</v>
          </cell>
          <cell r="I24" t="str">
            <v>7150/5900</v>
          </cell>
        </row>
        <row r="25">
          <cell r="A25" t="str">
            <v>03980-004</v>
          </cell>
          <cell r="C25" t="str">
            <v>PLATE</v>
          </cell>
          <cell r="D25" t="str">
            <v>C S</v>
          </cell>
          <cell r="E25" t="str">
            <v>PL103x70x9t</v>
          </cell>
          <cell r="G25" t="str">
            <v>71200- 80</v>
          </cell>
          <cell r="H25">
            <v>4</v>
          </cell>
          <cell r="I25" t="str">
            <v>7150/5900</v>
          </cell>
        </row>
        <row r="27">
          <cell r="A27" t="str">
            <v>03980-005</v>
          </cell>
          <cell r="C27" t="str">
            <v>H-BEAM</v>
          </cell>
          <cell r="D27" t="str">
            <v>C S</v>
          </cell>
          <cell r="E27" t="str">
            <v>H100x100x6x8</v>
          </cell>
          <cell r="F27">
            <v>450</v>
          </cell>
          <cell r="G27" t="str">
            <v>71200- 80</v>
          </cell>
          <cell r="H27">
            <v>1</v>
          </cell>
          <cell r="I27" t="str">
            <v>7150/5900</v>
          </cell>
        </row>
        <row r="28">
          <cell r="A28" t="str">
            <v>03980-005</v>
          </cell>
          <cell r="C28" t="str">
            <v>3-BOLT PIPE CLAMP</v>
          </cell>
          <cell r="D28" t="str">
            <v>C S</v>
          </cell>
          <cell r="E28" t="str">
            <v>DN 80</v>
          </cell>
          <cell r="G28" t="str">
            <v>71200- 80</v>
          </cell>
          <cell r="H28">
            <v>1</v>
          </cell>
          <cell r="I28" t="str">
            <v>7150/5900</v>
          </cell>
        </row>
        <row r="29">
          <cell r="A29" t="str">
            <v>03980-005</v>
          </cell>
          <cell r="C29" t="str">
            <v>WEL'D BEAM ATTACH.</v>
          </cell>
          <cell r="D29" t="str">
            <v>C S</v>
          </cell>
          <cell r="E29" t="str">
            <v>M12</v>
          </cell>
          <cell r="G29" t="str">
            <v>71200- 80</v>
          </cell>
          <cell r="H29">
            <v>1</v>
          </cell>
          <cell r="I29" t="str">
            <v>7150/5900</v>
          </cell>
        </row>
        <row r="30">
          <cell r="A30" t="str">
            <v>03980-005</v>
          </cell>
          <cell r="C30" t="str">
            <v>EYE NUT</v>
          </cell>
          <cell r="D30" t="str">
            <v>C S</v>
          </cell>
          <cell r="E30" t="str">
            <v>M12</v>
          </cell>
          <cell r="G30" t="str">
            <v>71200- 80</v>
          </cell>
          <cell r="H30">
            <v>2</v>
          </cell>
          <cell r="I30" t="str">
            <v>7150/5900</v>
          </cell>
        </row>
        <row r="31">
          <cell r="A31" t="str">
            <v>03980-005</v>
          </cell>
          <cell r="C31" t="str">
            <v>THR'D ROD R.H</v>
          </cell>
          <cell r="D31" t="str">
            <v>C S</v>
          </cell>
          <cell r="E31" t="str">
            <v>M12</v>
          </cell>
          <cell r="F31">
            <v>1000</v>
          </cell>
          <cell r="G31" t="str">
            <v>71200- 80</v>
          </cell>
          <cell r="H31">
            <v>1</v>
          </cell>
          <cell r="I31" t="str">
            <v>7150/5900</v>
          </cell>
        </row>
        <row r="32">
          <cell r="A32" t="str">
            <v>03980-005</v>
          </cell>
          <cell r="C32" t="str">
            <v>TURNBUCKLE</v>
          </cell>
          <cell r="D32" t="str">
            <v>C S</v>
          </cell>
          <cell r="E32" t="str">
            <v>M12</v>
          </cell>
          <cell r="G32" t="str">
            <v>71200- 80</v>
          </cell>
          <cell r="H32">
            <v>1</v>
          </cell>
          <cell r="I32" t="str">
            <v>7150/5900</v>
          </cell>
        </row>
        <row r="33">
          <cell r="A33" t="str">
            <v>03980-005</v>
          </cell>
          <cell r="C33" t="str">
            <v>THR'D ROD R.H&amp;L.H</v>
          </cell>
          <cell r="D33" t="str">
            <v>C S</v>
          </cell>
          <cell r="E33" t="str">
            <v>M12</v>
          </cell>
          <cell r="F33">
            <v>980</v>
          </cell>
          <cell r="G33" t="str">
            <v>71200- 80</v>
          </cell>
          <cell r="H33">
            <v>1</v>
          </cell>
          <cell r="I33" t="str">
            <v>7150/5900</v>
          </cell>
        </row>
        <row r="35">
          <cell r="A35" t="str">
            <v>03980-006</v>
          </cell>
          <cell r="C35" t="str">
            <v>H-BEAM</v>
          </cell>
          <cell r="D35" t="str">
            <v>C S</v>
          </cell>
          <cell r="E35" t="str">
            <v>H100x100x6x8</v>
          </cell>
          <cell r="F35">
            <v>550</v>
          </cell>
          <cell r="G35" t="str">
            <v>71200- 80</v>
          </cell>
          <cell r="H35">
            <v>1</v>
          </cell>
          <cell r="I35" t="str">
            <v>7150/5900</v>
          </cell>
        </row>
        <row r="36">
          <cell r="A36" t="str">
            <v>03980-006</v>
          </cell>
          <cell r="C36" t="str">
            <v>CT</v>
          </cell>
          <cell r="D36" t="str">
            <v>C S</v>
          </cell>
          <cell r="E36" t="str">
            <v>CT100x150x6x9</v>
          </cell>
          <cell r="F36">
            <v>300</v>
          </cell>
          <cell r="G36" t="str">
            <v>71200- 80</v>
          </cell>
          <cell r="H36">
            <v>1</v>
          </cell>
          <cell r="I36" t="str">
            <v>7150/5900</v>
          </cell>
        </row>
        <row r="37">
          <cell r="A37" t="str">
            <v>03980-006</v>
          </cell>
          <cell r="C37" t="str">
            <v>PLATE</v>
          </cell>
          <cell r="D37" t="str">
            <v>C S</v>
          </cell>
          <cell r="E37" t="str">
            <v>PL103x70x9t</v>
          </cell>
          <cell r="G37" t="str">
            <v>71200- 80</v>
          </cell>
          <cell r="H37">
            <v>4</v>
          </cell>
          <cell r="I37" t="str">
            <v>7150/5900</v>
          </cell>
        </row>
        <row r="38">
          <cell r="A38" t="str">
            <v>03980-006</v>
          </cell>
          <cell r="C38" t="str">
            <v>PLATE</v>
          </cell>
          <cell r="D38" t="str">
            <v>C S</v>
          </cell>
          <cell r="E38" t="str">
            <v>PL100x50x12t</v>
          </cell>
          <cell r="G38" t="str">
            <v>71200- 80</v>
          </cell>
          <cell r="H38">
            <v>2</v>
          </cell>
          <cell r="I38" t="str">
            <v>7150/5900</v>
          </cell>
        </row>
        <row r="39">
          <cell r="A39" t="str">
            <v>03980-006</v>
          </cell>
          <cell r="C39" t="str">
            <v>PLATE</v>
          </cell>
          <cell r="D39" t="str">
            <v>C S</v>
          </cell>
          <cell r="E39" t="str">
            <v>PL80x50x9t</v>
          </cell>
          <cell r="G39" t="str">
            <v>71200- 80</v>
          </cell>
          <cell r="H39">
            <v>2</v>
          </cell>
          <cell r="I39" t="str">
            <v>7150/5900</v>
          </cell>
        </row>
        <row r="41">
          <cell r="A41" t="str">
            <v>03980-007</v>
          </cell>
          <cell r="C41" t="str">
            <v>CHANNEL</v>
          </cell>
          <cell r="D41" t="str">
            <v>C S</v>
          </cell>
          <cell r="E41" t="str">
            <v>C100x50x5x7.5</v>
          </cell>
          <cell r="F41">
            <v>200</v>
          </cell>
          <cell r="G41" t="str">
            <v>71200- 80</v>
          </cell>
          <cell r="H41">
            <v>1</v>
          </cell>
        </row>
        <row r="42">
          <cell r="A42" t="str">
            <v>03980-007</v>
          </cell>
          <cell r="C42" t="str">
            <v>CT</v>
          </cell>
          <cell r="D42" t="str">
            <v>C S</v>
          </cell>
          <cell r="E42" t="str">
            <v>CT100x150x6x9</v>
          </cell>
          <cell r="F42">
            <v>300</v>
          </cell>
          <cell r="G42" t="str">
            <v>71200- 80</v>
          </cell>
          <cell r="H42">
            <v>1</v>
          </cell>
        </row>
        <row r="43">
          <cell r="A43" t="str">
            <v>03980-007</v>
          </cell>
          <cell r="C43" t="str">
            <v>PLATE</v>
          </cell>
          <cell r="D43" t="str">
            <v>C S</v>
          </cell>
          <cell r="E43" t="str">
            <v>PL103x70x9t</v>
          </cell>
          <cell r="G43" t="str">
            <v>71200- 80</v>
          </cell>
          <cell r="H43">
            <v>4</v>
          </cell>
          <cell r="I43" t="str">
            <v>7150/5900</v>
          </cell>
        </row>
        <row r="45">
          <cell r="A45" t="str">
            <v>03980-008</v>
          </cell>
          <cell r="C45" t="str">
            <v>CHANNEL</v>
          </cell>
          <cell r="D45" t="str">
            <v>C S</v>
          </cell>
          <cell r="E45" t="str">
            <v>C100x50x5x7.5</v>
          </cell>
          <cell r="F45">
            <v>300</v>
          </cell>
          <cell r="G45" t="str">
            <v>71200- 80</v>
          </cell>
          <cell r="H45">
            <v>1</v>
          </cell>
        </row>
        <row r="46">
          <cell r="A46" t="str">
            <v>03980-008</v>
          </cell>
          <cell r="C46" t="str">
            <v>CT</v>
          </cell>
          <cell r="D46" t="str">
            <v>C S</v>
          </cell>
          <cell r="E46" t="str">
            <v>CT100x150x6x9</v>
          </cell>
          <cell r="F46">
            <v>300</v>
          </cell>
          <cell r="G46" t="str">
            <v>71200- 80</v>
          </cell>
          <cell r="H46">
            <v>1</v>
          </cell>
        </row>
        <row r="47">
          <cell r="A47" t="str">
            <v>03980-008</v>
          </cell>
          <cell r="C47" t="str">
            <v>PLATE</v>
          </cell>
          <cell r="D47" t="str">
            <v>C S</v>
          </cell>
          <cell r="E47" t="str">
            <v>PL103x70x9t</v>
          </cell>
          <cell r="G47" t="str">
            <v>71200- 80</v>
          </cell>
          <cell r="H47">
            <v>4</v>
          </cell>
          <cell r="I47" t="str">
            <v>7150/5900</v>
          </cell>
        </row>
        <row r="48">
          <cell r="A48" t="str">
            <v>03980-008</v>
          </cell>
          <cell r="C48" t="str">
            <v>PLATE</v>
          </cell>
          <cell r="D48" t="str">
            <v>C S</v>
          </cell>
          <cell r="E48" t="str">
            <v>PL100x50x12t</v>
          </cell>
          <cell r="G48" t="str">
            <v>71200- 80</v>
          </cell>
          <cell r="H48">
            <v>2</v>
          </cell>
          <cell r="I48" t="str">
            <v>7150/5900</v>
          </cell>
        </row>
        <row r="49">
          <cell r="A49" t="str">
            <v>03980-008</v>
          </cell>
          <cell r="C49" t="str">
            <v>PLATE</v>
          </cell>
          <cell r="D49" t="str">
            <v>C S</v>
          </cell>
          <cell r="E49" t="str">
            <v>PL80x50x9t</v>
          </cell>
          <cell r="G49" t="str">
            <v>71200- 80</v>
          </cell>
          <cell r="H49">
            <v>2</v>
          </cell>
          <cell r="I49" t="str">
            <v>7150/5900</v>
          </cell>
        </row>
        <row r="51">
          <cell r="A51" t="str">
            <v>03980-009</v>
          </cell>
          <cell r="C51" t="str">
            <v>CT</v>
          </cell>
          <cell r="D51" t="str">
            <v>C S</v>
          </cell>
          <cell r="E51" t="str">
            <v>CT100x150x6x9</v>
          </cell>
          <cell r="F51">
            <v>300</v>
          </cell>
          <cell r="G51" t="str">
            <v>71200- 80</v>
          </cell>
          <cell r="H51">
            <v>1</v>
          </cell>
        </row>
        <row r="52">
          <cell r="A52" t="str">
            <v>03980-009</v>
          </cell>
          <cell r="C52" t="str">
            <v>PLATE</v>
          </cell>
          <cell r="D52" t="str">
            <v>C S</v>
          </cell>
          <cell r="E52" t="str">
            <v>PL103x70x9t</v>
          </cell>
          <cell r="G52" t="str">
            <v>71200- 80</v>
          </cell>
          <cell r="H52">
            <v>4</v>
          </cell>
          <cell r="I52" t="str">
            <v>7150/5900</v>
          </cell>
        </row>
        <row r="54">
          <cell r="A54" t="str">
            <v>03980-010</v>
          </cell>
          <cell r="C54" t="str">
            <v>CT</v>
          </cell>
          <cell r="D54" t="str">
            <v>C S</v>
          </cell>
          <cell r="E54" t="str">
            <v>CT100x150x6x9</v>
          </cell>
          <cell r="F54">
            <v>300</v>
          </cell>
          <cell r="G54" t="str">
            <v>71200- 80</v>
          </cell>
          <cell r="H54">
            <v>6</v>
          </cell>
        </row>
        <row r="55">
          <cell r="A55" t="str">
            <v>03980-010</v>
          </cell>
          <cell r="C55" t="str">
            <v>PLATE</v>
          </cell>
          <cell r="D55" t="str">
            <v>C S</v>
          </cell>
          <cell r="E55" t="str">
            <v>PL103x70x9t</v>
          </cell>
          <cell r="G55" t="str">
            <v>71200- 80</v>
          </cell>
          <cell r="H55">
            <v>24</v>
          </cell>
          <cell r="I55" t="str">
            <v>7150/5900</v>
          </cell>
        </row>
        <row r="57">
          <cell r="A57" t="str">
            <v>03980-011</v>
          </cell>
          <cell r="C57" t="str">
            <v>PIPE STD WT</v>
          </cell>
          <cell r="D57" t="str">
            <v>C S</v>
          </cell>
          <cell r="E57" t="str">
            <v>DN 50</v>
          </cell>
          <cell r="F57">
            <v>103</v>
          </cell>
          <cell r="G57" t="str">
            <v>71200- 80</v>
          </cell>
          <cell r="H57">
            <v>2</v>
          </cell>
        </row>
        <row r="58">
          <cell r="A58" t="str">
            <v>03980-011</v>
          </cell>
          <cell r="C58" t="str">
            <v>PLATE</v>
          </cell>
          <cell r="D58" t="str">
            <v>C S</v>
          </cell>
          <cell r="E58" t="str">
            <v>PL110x110x6t</v>
          </cell>
          <cell r="G58" t="str">
            <v>71200- 80</v>
          </cell>
          <cell r="H58">
            <v>2</v>
          </cell>
          <cell r="I58" t="str">
            <v>7150/5900</v>
          </cell>
        </row>
        <row r="60">
          <cell r="A60" t="str">
            <v>03980-012</v>
          </cell>
          <cell r="C60" t="str">
            <v>CT</v>
          </cell>
          <cell r="D60" t="str">
            <v>C S</v>
          </cell>
          <cell r="E60" t="str">
            <v>CT100x150x6x9</v>
          </cell>
          <cell r="F60">
            <v>300</v>
          </cell>
          <cell r="G60" t="str">
            <v>71200- 80</v>
          </cell>
          <cell r="H60">
            <v>2</v>
          </cell>
          <cell r="I60" t="str">
            <v>7150/5900</v>
          </cell>
        </row>
        <row r="61">
          <cell r="A61" t="str">
            <v>03980-012</v>
          </cell>
          <cell r="C61" t="str">
            <v>PLATE</v>
          </cell>
          <cell r="D61" t="str">
            <v>C S</v>
          </cell>
          <cell r="E61" t="str">
            <v>PL103x70x9t</v>
          </cell>
          <cell r="G61" t="str">
            <v>71200- 80</v>
          </cell>
          <cell r="H61">
            <v>8</v>
          </cell>
          <cell r="I61" t="str">
            <v>7150/5900</v>
          </cell>
        </row>
        <row r="62">
          <cell r="A62" t="str">
            <v>03980-012</v>
          </cell>
          <cell r="C62" t="str">
            <v>PLATE</v>
          </cell>
          <cell r="D62" t="str">
            <v>C S</v>
          </cell>
          <cell r="E62" t="str">
            <v>PL100x50x12t</v>
          </cell>
          <cell r="G62" t="str">
            <v>71200- 80</v>
          </cell>
          <cell r="H62">
            <v>4</v>
          </cell>
          <cell r="I62" t="str">
            <v>7150/5900</v>
          </cell>
        </row>
        <row r="63">
          <cell r="A63" t="str">
            <v>03980-012</v>
          </cell>
          <cell r="C63" t="str">
            <v>PLATE</v>
          </cell>
          <cell r="D63" t="str">
            <v>C S</v>
          </cell>
          <cell r="E63" t="str">
            <v>PL80x50x9t</v>
          </cell>
          <cell r="G63" t="str">
            <v>71200- 80</v>
          </cell>
          <cell r="H63">
            <v>4</v>
          </cell>
          <cell r="I63" t="str">
            <v>7150/5900</v>
          </cell>
        </row>
        <row r="65">
          <cell r="A65" t="str">
            <v>03980-013</v>
          </cell>
          <cell r="C65" t="str">
            <v>CHANNEL</v>
          </cell>
          <cell r="D65" t="str">
            <v>C S</v>
          </cell>
          <cell r="E65" t="str">
            <v>C100x50x5x7.5</v>
          </cell>
          <cell r="F65">
            <v>200</v>
          </cell>
          <cell r="G65" t="str">
            <v>71200- 80</v>
          </cell>
          <cell r="H65">
            <v>5</v>
          </cell>
        </row>
        <row r="66">
          <cell r="A66" t="str">
            <v>03980-013</v>
          </cell>
          <cell r="C66" t="str">
            <v>CT</v>
          </cell>
          <cell r="D66" t="str">
            <v>C S</v>
          </cell>
          <cell r="E66" t="str">
            <v>CT100x150x6x9</v>
          </cell>
          <cell r="F66">
            <v>300</v>
          </cell>
          <cell r="G66" t="str">
            <v>71200- 80</v>
          </cell>
          <cell r="H66">
            <v>5</v>
          </cell>
        </row>
        <row r="67">
          <cell r="A67" t="str">
            <v>03980-013</v>
          </cell>
          <cell r="C67" t="str">
            <v>PLATE</v>
          </cell>
          <cell r="D67" t="str">
            <v>C S</v>
          </cell>
          <cell r="E67" t="str">
            <v>PL103x70x9t</v>
          </cell>
          <cell r="G67" t="str">
            <v>71200- 80</v>
          </cell>
          <cell r="H67">
            <v>20</v>
          </cell>
          <cell r="I67" t="str">
            <v>7150/5900</v>
          </cell>
        </row>
        <row r="69">
          <cell r="A69" t="str">
            <v>03980-014</v>
          </cell>
          <cell r="C69" t="str">
            <v>H-BEAM</v>
          </cell>
          <cell r="D69" t="str">
            <v>C S</v>
          </cell>
          <cell r="E69" t="str">
            <v>H100x100x6x8</v>
          </cell>
          <cell r="F69">
            <v>970</v>
          </cell>
          <cell r="G69" t="str">
            <v>71200- 80</v>
          </cell>
          <cell r="H69">
            <v>2</v>
          </cell>
          <cell r="I69" t="str">
            <v>7150/5900</v>
          </cell>
        </row>
        <row r="70">
          <cell r="A70" t="str">
            <v>03980-014</v>
          </cell>
          <cell r="C70" t="str">
            <v>CT</v>
          </cell>
          <cell r="D70" t="str">
            <v>C S</v>
          </cell>
          <cell r="E70" t="str">
            <v>CT100x150x6x9</v>
          </cell>
          <cell r="F70">
            <v>300</v>
          </cell>
          <cell r="G70" t="str">
            <v>71200- 80</v>
          </cell>
          <cell r="H70">
            <v>2</v>
          </cell>
          <cell r="I70" t="str">
            <v>7150/5900</v>
          </cell>
        </row>
        <row r="71">
          <cell r="A71" t="str">
            <v>03980-014</v>
          </cell>
          <cell r="C71" t="str">
            <v>PLATE</v>
          </cell>
          <cell r="D71" t="str">
            <v>C S</v>
          </cell>
          <cell r="E71" t="str">
            <v>PL103x70x9t</v>
          </cell>
          <cell r="G71" t="str">
            <v>71200- 80</v>
          </cell>
          <cell r="H71">
            <v>8</v>
          </cell>
          <cell r="I71" t="str">
            <v>7150/5900</v>
          </cell>
        </row>
        <row r="73">
          <cell r="A73" t="str">
            <v>03980-015</v>
          </cell>
          <cell r="C73" t="str">
            <v>H-BEAM</v>
          </cell>
          <cell r="D73" t="str">
            <v>C S</v>
          </cell>
          <cell r="E73" t="str">
            <v>H100x100x6x8</v>
          </cell>
          <cell r="F73">
            <v>970</v>
          </cell>
          <cell r="G73" t="str">
            <v>71200- 80</v>
          </cell>
          <cell r="H73">
            <v>1</v>
          </cell>
          <cell r="I73" t="str">
            <v>7150/5900</v>
          </cell>
        </row>
        <row r="74">
          <cell r="A74" t="str">
            <v>03980-015</v>
          </cell>
          <cell r="C74" t="str">
            <v>CT</v>
          </cell>
          <cell r="D74" t="str">
            <v>C S</v>
          </cell>
          <cell r="E74" t="str">
            <v>CT100x150x6x9</v>
          </cell>
          <cell r="F74">
            <v>300</v>
          </cell>
          <cell r="G74" t="str">
            <v>71200- 80</v>
          </cell>
          <cell r="H74">
            <v>1</v>
          </cell>
          <cell r="I74" t="str">
            <v>7150/5900</v>
          </cell>
        </row>
        <row r="75">
          <cell r="A75" t="str">
            <v>03980-015</v>
          </cell>
          <cell r="C75" t="str">
            <v>PLATE</v>
          </cell>
          <cell r="D75" t="str">
            <v>C S</v>
          </cell>
          <cell r="E75" t="str">
            <v>PL103x70x9t</v>
          </cell>
          <cell r="G75" t="str">
            <v>71200- 80</v>
          </cell>
          <cell r="H75">
            <v>4</v>
          </cell>
          <cell r="I75" t="str">
            <v>7150/5900</v>
          </cell>
        </row>
        <row r="76">
          <cell r="A76" t="str">
            <v>03980-015</v>
          </cell>
          <cell r="C76" t="str">
            <v>PLATE</v>
          </cell>
          <cell r="D76" t="str">
            <v>C S</v>
          </cell>
          <cell r="E76" t="str">
            <v>PL100x50x12t</v>
          </cell>
          <cell r="G76" t="str">
            <v>71200- 80</v>
          </cell>
          <cell r="H76">
            <v>2</v>
          </cell>
          <cell r="I76" t="str">
            <v>7150/5900</v>
          </cell>
        </row>
        <row r="77">
          <cell r="A77" t="str">
            <v>03980-015</v>
          </cell>
          <cell r="C77" t="str">
            <v>PLATE</v>
          </cell>
          <cell r="D77" t="str">
            <v>C S</v>
          </cell>
          <cell r="E77" t="str">
            <v>PL80x50x9t</v>
          </cell>
          <cell r="G77" t="str">
            <v>71200- 80</v>
          </cell>
          <cell r="H77">
            <v>2</v>
          </cell>
          <cell r="I77" t="str">
            <v>7150/5900</v>
          </cell>
        </row>
        <row r="79">
          <cell r="A79" t="str">
            <v>03980-016</v>
          </cell>
          <cell r="C79" t="str">
            <v>CHANNEL</v>
          </cell>
          <cell r="D79" t="str">
            <v>C S</v>
          </cell>
          <cell r="E79" t="str">
            <v>C100x50x5x7.5</v>
          </cell>
          <cell r="F79">
            <v>300</v>
          </cell>
          <cell r="G79" t="str">
            <v>71200- 80</v>
          </cell>
          <cell r="H79">
            <v>1</v>
          </cell>
        </row>
        <row r="80">
          <cell r="A80" t="str">
            <v>03980-016</v>
          </cell>
          <cell r="C80" t="str">
            <v>CT</v>
          </cell>
          <cell r="D80" t="str">
            <v>C S</v>
          </cell>
          <cell r="E80" t="str">
            <v>CT100x150x6x9</v>
          </cell>
          <cell r="F80">
            <v>300</v>
          </cell>
          <cell r="G80" t="str">
            <v>71200- 80</v>
          </cell>
          <cell r="H80">
            <v>1</v>
          </cell>
        </row>
        <row r="81">
          <cell r="A81" t="str">
            <v>03980-016</v>
          </cell>
          <cell r="C81" t="str">
            <v>PLATE</v>
          </cell>
          <cell r="D81" t="str">
            <v>C S</v>
          </cell>
          <cell r="E81" t="str">
            <v>PL103x70x9t</v>
          </cell>
          <cell r="G81" t="str">
            <v>71200- 80</v>
          </cell>
          <cell r="H81">
            <v>4</v>
          </cell>
          <cell r="I81" t="str">
            <v>7150/5900</v>
          </cell>
        </row>
        <row r="82">
          <cell r="A82" t="str">
            <v>03980-016</v>
          </cell>
          <cell r="C82" t="str">
            <v>PLATE</v>
          </cell>
          <cell r="D82" t="str">
            <v>C S</v>
          </cell>
          <cell r="E82" t="str">
            <v>PL100x50x12t</v>
          </cell>
          <cell r="G82" t="str">
            <v>71200- 80</v>
          </cell>
          <cell r="H82">
            <v>2</v>
          </cell>
          <cell r="I82" t="str">
            <v>7150/5900</v>
          </cell>
        </row>
        <row r="83">
          <cell r="A83" t="str">
            <v>03980-016</v>
          </cell>
          <cell r="C83" t="str">
            <v>PLATE</v>
          </cell>
          <cell r="D83" t="str">
            <v>C S</v>
          </cell>
          <cell r="E83" t="str">
            <v>PL80x50x9t</v>
          </cell>
          <cell r="G83" t="str">
            <v>71200- 80</v>
          </cell>
          <cell r="H83">
            <v>2</v>
          </cell>
          <cell r="I83" t="str">
            <v>7150/5900</v>
          </cell>
        </row>
        <row r="85">
          <cell r="A85" t="str">
            <v>03980-017</v>
          </cell>
          <cell r="C85" t="str">
            <v>H-BEAM</v>
          </cell>
          <cell r="D85" t="str">
            <v>C S</v>
          </cell>
          <cell r="E85" t="str">
            <v>H100x100x6x8</v>
          </cell>
          <cell r="F85">
            <v>290</v>
          </cell>
          <cell r="G85" t="str">
            <v>71200- 80</v>
          </cell>
          <cell r="H85">
            <v>4</v>
          </cell>
          <cell r="I85" t="str">
            <v>7150/5900</v>
          </cell>
        </row>
        <row r="86">
          <cell r="A86" t="str">
            <v>03980-017</v>
          </cell>
          <cell r="C86" t="str">
            <v>CT</v>
          </cell>
          <cell r="D86" t="str">
            <v>C S</v>
          </cell>
          <cell r="E86" t="str">
            <v>CT100x150x6x9</v>
          </cell>
          <cell r="F86">
            <v>300</v>
          </cell>
          <cell r="G86" t="str">
            <v>71200- 80</v>
          </cell>
          <cell r="H86">
            <v>4</v>
          </cell>
          <cell r="I86" t="str">
            <v>7150/5900</v>
          </cell>
        </row>
        <row r="87">
          <cell r="A87" t="str">
            <v>03980-017</v>
          </cell>
          <cell r="C87" t="str">
            <v>PLATE</v>
          </cell>
          <cell r="D87" t="str">
            <v>C S</v>
          </cell>
          <cell r="E87" t="str">
            <v>PL103x70x9t</v>
          </cell>
          <cell r="G87" t="str">
            <v>71200- 80</v>
          </cell>
          <cell r="H87">
            <v>16</v>
          </cell>
          <cell r="I87" t="str">
            <v>7150/5900</v>
          </cell>
        </row>
        <row r="88">
          <cell r="A88" t="str">
            <v>03980-017</v>
          </cell>
          <cell r="C88" t="str">
            <v>PLATE</v>
          </cell>
          <cell r="D88" t="str">
            <v>C S</v>
          </cell>
          <cell r="E88" t="str">
            <v>PL250x250x12t</v>
          </cell>
          <cell r="G88" t="str">
            <v>71200- 80</v>
          </cell>
          <cell r="H88">
            <v>4</v>
          </cell>
          <cell r="I88" t="str">
            <v>7150/5900</v>
          </cell>
        </row>
        <row r="89">
          <cell r="A89" t="str">
            <v>03980-017</v>
          </cell>
          <cell r="C89" t="str">
            <v>ANCHOR BOLT</v>
          </cell>
          <cell r="D89" t="str">
            <v>C S</v>
          </cell>
          <cell r="E89" t="str">
            <v>M12x118L</v>
          </cell>
          <cell r="G89" t="str">
            <v>71200- 80</v>
          </cell>
          <cell r="H89">
            <v>16</v>
          </cell>
          <cell r="I89" t="str">
            <v>7150/5900</v>
          </cell>
        </row>
        <row r="91">
          <cell r="A91" t="str">
            <v>03980-018</v>
          </cell>
          <cell r="C91" t="str">
            <v>H-BEAM</v>
          </cell>
          <cell r="D91" t="str">
            <v>C S</v>
          </cell>
          <cell r="E91" t="str">
            <v>H100x100x6x8</v>
          </cell>
          <cell r="F91">
            <v>270</v>
          </cell>
          <cell r="G91" t="str">
            <v>71200- 80</v>
          </cell>
          <cell r="H91">
            <v>2</v>
          </cell>
          <cell r="I91" t="str">
            <v>7150/5900</v>
          </cell>
        </row>
        <row r="92">
          <cell r="A92" t="str">
            <v>03980-018</v>
          </cell>
          <cell r="C92" t="str">
            <v>PIPE STD WT</v>
          </cell>
          <cell r="D92" t="str">
            <v>C S</v>
          </cell>
          <cell r="E92" t="str">
            <v>DN 50</v>
          </cell>
          <cell r="F92">
            <v>103</v>
          </cell>
          <cell r="G92" t="str">
            <v>71200- 80</v>
          </cell>
          <cell r="H92">
            <v>2</v>
          </cell>
          <cell r="I92" t="str">
            <v>7150/5900</v>
          </cell>
        </row>
        <row r="93">
          <cell r="A93" t="str">
            <v>03980-018</v>
          </cell>
          <cell r="C93" t="str">
            <v>PLATE</v>
          </cell>
          <cell r="D93" t="str">
            <v>C S</v>
          </cell>
          <cell r="E93" t="str">
            <v>PL110x110x6t</v>
          </cell>
          <cell r="G93" t="str">
            <v>71200- 80</v>
          </cell>
          <cell r="H93">
            <v>2</v>
          </cell>
          <cell r="I93" t="str">
            <v>7150/5900</v>
          </cell>
        </row>
        <row r="94">
          <cell r="A94" t="str">
            <v>03980-018</v>
          </cell>
          <cell r="C94" t="str">
            <v>PLATE</v>
          </cell>
          <cell r="D94" t="str">
            <v>C S</v>
          </cell>
          <cell r="E94" t="str">
            <v>PL250x250x12t</v>
          </cell>
          <cell r="G94" t="str">
            <v>71200- 80</v>
          </cell>
          <cell r="H94">
            <v>2</v>
          </cell>
          <cell r="I94" t="str">
            <v>7150/5900</v>
          </cell>
        </row>
        <row r="95">
          <cell r="A95" t="str">
            <v>03980-018</v>
          </cell>
          <cell r="C95" t="str">
            <v>ANCHOR BOLT</v>
          </cell>
          <cell r="D95" t="str">
            <v>C S</v>
          </cell>
          <cell r="E95" t="str">
            <v>M12x118L</v>
          </cell>
          <cell r="G95" t="str">
            <v>71200- 80</v>
          </cell>
          <cell r="H95">
            <v>8</v>
          </cell>
          <cell r="I95" t="str">
            <v>7150/5900</v>
          </cell>
        </row>
        <row r="97">
          <cell r="A97" t="str">
            <v>03980-019</v>
          </cell>
          <cell r="C97" t="str">
            <v>H-BEAM</v>
          </cell>
          <cell r="D97" t="str">
            <v>C S</v>
          </cell>
          <cell r="E97" t="str">
            <v>H100x100x6x8</v>
          </cell>
          <cell r="F97">
            <v>340</v>
          </cell>
          <cell r="G97" t="str">
            <v>71200- 80</v>
          </cell>
          <cell r="H97">
            <v>2</v>
          </cell>
          <cell r="I97" t="str">
            <v>7150/5900</v>
          </cell>
        </row>
        <row r="98">
          <cell r="A98" t="str">
            <v>03980-019</v>
          </cell>
          <cell r="C98" t="str">
            <v>CT</v>
          </cell>
          <cell r="D98" t="str">
            <v>C S</v>
          </cell>
          <cell r="E98" t="str">
            <v>CT100x150x6x9</v>
          </cell>
          <cell r="F98">
            <v>300</v>
          </cell>
          <cell r="G98" t="str">
            <v>71200- 80</v>
          </cell>
          <cell r="H98">
            <v>2</v>
          </cell>
          <cell r="I98" t="str">
            <v>7150/5900</v>
          </cell>
        </row>
        <row r="99">
          <cell r="A99" t="str">
            <v>03980-019</v>
          </cell>
          <cell r="C99" t="str">
            <v>PLATE</v>
          </cell>
          <cell r="D99" t="str">
            <v>C S</v>
          </cell>
          <cell r="E99" t="str">
            <v>PL103x70x9t</v>
          </cell>
          <cell r="G99" t="str">
            <v>71200- 80</v>
          </cell>
          <cell r="H99">
            <v>8</v>
          </cell>
          <cell r="I99" t="str">
            <v>7150/5900</v>
          </cell>
        </row>
        <row r="100">
          <cell r="A100" t="str">
            <v>03980-019</v>
          </cell>
          <cell r="C100" t="str">
            <v>PLATE</v>
          </cell>
          <cell r="D100" t="str">
            <v>C S</v>
          </cell>
          <cell r="E100" t="str">
            <v>PL250x250x12t</v>
          </cell>
          <cell r="G100" t="str">
            <v>71200- 80</v>
          </cell>
          <cell r="H100">
            <v>2</v>
          </cell>
          <cell r="I100" t="str">
            <v>7150/5900</v>
          </cell>
        </row>
        <row r="101">
          <cell r="A101" t="str">
            <v>03980-019</v>
          </cell>
          <cell r="C101" t="str">
            <v>ANCHOR BOLT</v>
          </cell>
          <cell r="D101" t="str">
            <v>C S</v>
          </cell>
          <cell r="E101" t="str">
            <v>M12x118L</v>
          </cell>
          <cell r="G101" t="str">
            <v>71200- 80</v>
          </cell>
          <cell r="H101">
            <v>8</v>
          </cell>
          <cell r="I101" t="str">
            <v>7150/5900</v>
          </cell>
        </row>
        <row r="102">
          <cell r="A102" t="str">
            <v>03980-019</v>
          </cell>
          <cell r="C102" t="str">
            <v>PLATE</v>
          </cell>
          <cell r="D102" t="str">
            <v>C S</v>
          </cell>
          <cell r="E102" t="str">
            <v>PL100x50x12t</v>
          </cell>
          <cell r="G102" t="str">
            <v>71200- 80</v>
          </cell>
          <cell r="H102">
            <v>4</v>
          </cell>
          <cell r="I102" t="str">
            <v>7150/5900</v>
          </cell>
        </row>
        <row r="103">
          <cell r="A103" t="str">
            <v>03980-019</v>
          </cell>
          <cell r="C103" t="str">
            <v>PLATE</v>
          </cell>
          <cell r="D103" t="str">
            <v>C S</v>
          </cell>
          <cell r="E103" t="str">
            <v>PL80x50x9t</v>
          </cell>
          <cell r="G103" t="str">
            <v>71200- 80</v>
          </cell>
          <cell r="H103">
            <v>4</v>
          </cell>
          <cell r="I103" t="str">
            <v>7150/5900</v>
          </cell>
        </row>
        <row r="105">
          <cell r="A105" t="str">
            <v>03980-020</v>
          </cell>
          <cell r="C105" t="str">
            <v>H-BEAM</v>
          </cell>
          <cell r="D105" t="str">
            <v>C S</v>
          </cell>
          <cell r="E105" t="str">
            <v>H100x100x6x8</v>
          </cell>
          <cell r="F105">
            <v>600</v>
          </cell>
          <cell r="G105" t="str">
            <v>71200- 80</v>
          </cell>
          <cell r="H105">
            <v>1</v>
          </cell>
          <cell r="I105" t="str">
            <v>7150/5900</v>
          </cell>
        </row>
        <row r="106">
          <cell r="A106" t="str">
            <v>03980-020</v>
          </cell>
          <cell r="C106" t="str">
            <v>CT</v>
          </cell>
          <cell r="D106" t="str">
            <v>C S</v>
          </cell>
          <cell r="E106" t="str">
            <v>CT100x150x6x9</v>
          </cell>
          <cell r="F106">
            <v>300</v>
          </cell>
          <cell r="G106" t="str">
            <v>71200- 80</v>
          </cell>
          <cell r="H106">
            <v>1</v>
          </cell>
          <cell r="I106" t="str">
            <v>7150/5900</v>
          </cell>
        </row>
        <row r="107">
          <cell r="A107" t="str">
            <v>03980-020</v>
          </cell>
          <cell r="C107" t="str">
            <v>PLATE</v>
          </cell>
          <cell r="D107" t="str">
            <v>C S</v>
          </cell>
          <cell r="E107" t="str">
            <v>PL103x70x9t</v>
          </cell>
          <cell r="G107" t="str">
            <v>71200- 80</v>
          </cell>
          <cell r="H107">
            <v>4</v>
          </cell>
          <cell r="I107" t="str">
            <v>7150/5900</v>
          </cell>
        </row>
        <row r="108">
          <cell r="A108" t="str">
            <v>03980-020</v>
          </cell>
          <cell r="C108" t="str">
            <v>PLATE</v>
          </cell>
          <cell r="D108" t="str">
            <v>C S</v>
          </cell>
          <cell r="E108" t="str">
            <v>PL100x50x12t</v>
          </cell>
          <cell r="G108" t="str">
            <v>71200- 80</v>
          </cell>
          <cell r="H108">
            <v>2</v>
          </cell>
          <cell r="I108" t="str">
            <v>7150/5900</v>
          </cell>
        </row>
        <row r="109">
          <cell r="A109" t="str">
            <v>03980-020</v>
          </cell>
          <cell r="C109" t="str">
            <v>PLATE</v>
          </cell>
          <cell r="D109" t="str">
            <v>C S</v>
          </cell>
          <cell r="E109" t="str">
            <v>PL80x50x9t</v>
          </cell>
          <cell r="G109" t="str">
            <v>71200- 80</v>
          </cell>
          <cell r="H109">
            <v>2</v>
          </cell>
          <cell r="I109" t="str">
            <v>7150/5900</v>
          </cell>
        </row>
        <row r="111">
          <cell r="A111" t="str">
            <v>03980-021</v>
          </cell>
          <cell r="C111" t="str">
            <v>ANGLE</v>
          </cell>
          <cell r="D111" t="str">
            <v>C S</v>
          </cell>
          <cell r="E111" t="str">
            <v>L100x100x10</v>
          </cell>
          <cell r="F111">
            <v>270</v>
          </cell>
          <cell r="G111" t="str">
            <v>71200- 80</v>
          </cell>
          <cell r="H111">
            <v>1</v>
          </cell>
          <cell r="I111" t="str">
            <v>7150/5900</v>
          </cell>
        </row>
        <row r="112">
          <cell r="A112" t="str">
            <v>03980-021</v>
          </cell>
          <cell r="C112" t="str">
            <v>ANGLE</v>
          </cell>
          <cell r="D112" t="str">
            <v>C S</v>
          </cell>
          <cell r="E112" t="str">
            <v>L100x100x10</v>
          </cell>
          <cell r="F112">
            <v>200</v>
          </cell>
          <cell r="G112" t="str">
            <v>71200- 80</v>
          </cell>
          <cell r="H112">
            <v>1</v>
          </cell>
          <cell r="I112" t="str">
            <v>7150/5900</v>
          </cell>
        </row>
        <row r="113">
          <cell r="A113" t="str">
            <v>03980-021</v>
          </cell>
          <cell r="C113" t="str">
            <v>CT</v>
          </cell>
          <cell r="D113" t="str">
            <v>C S</v>
          </cell>
          <cell r="E113" t="str">
            <v>CT100x150x6x9</v>
          </cell>
          <cell r="F113">
            <v>300</v>
          </cell>
          <cell r="G113" t="str">
            <v>71200- 80</v>
          </cell>
          <cell r="H113">
            <v>1</v>
          </cell>
          <cell r="I113" t="str">
            <v>7150/5900</v>
          </cell>
        </row>
        <row r="114">
          <cell r="A114" t="str">
            <v>03980-021</v>
          </cell>
          <cell r="C114" t="str">
            <v>PLATE</v>
          </cell>
          <cell r="D114" t="str">
            <v>C S</v>
          </cell>
          <cell r="E114" t="str">
            <v>PL103x70x9t</v>
          </cell>
          <cell r="G114" t="str">
            <v>71200- 80</v>
          </cell>
          <cell r="H114">
            <v>4</v>
          </cell>
          <cell r="I114" t="str">
            <v>7150/5900</v>
          </cell>
        </row>
        <row r="115">
          <cell r="A115" t="str">
            <v>03980-021</v>
          </cell>
          <cell r="C115" t="str">
            <v>PLATE</v>
          </cell>
          <cell r="D115" t="str">
            <v>C S</v>
          </cell>
          <cell r="E115" t="str">
            <v>PL250x250x12t</v>
          </cell>
          <cell r="G115" t="str">
            <v>71200- 80</v>
          </cell>
          <cell r="H115">
            <v>1</v>
          </cell>
          <cell r="I115" t="str">
            <v>7150/5900</v>
          </cell>
        </row>
        <row r="116">
          <cell r="A116" t="str">
            <v>03980-021</v>
          </cell>
          <cell r="C116" t="str">
            <v>ANCHOR BOLT</v>
          </cell>
          <cell r="D116" t="str">
            <v>C S</v>
          </cell>
          <cell r="E116" t="str">
            <v>M12x118L</v>
          </cell>
          <cell r="G116" t="str">
            <v>71200- 80</v>
          </cell>
          <cell r="H116">
            <v>4</v>
          </cell>
          <cell r="I116" t="str">
            <v>7150/5900</v>
          </cell>
        </row>
        <row r="118">
          <cell r="A118" t="str">
            <v>03980-022</v>
          </cell>
          <cell r="C118" t="str">
            <v>CT</v>
          </cell>
          <cell r="D118" t="str">
            <v>C S</v>
          </cell>
          <cell r="E118" t="str">
            <v>CT100x150x6x9</v>
          </cell>
          <cell r="F118">
            <v>300</v>
          </cell>
          <cell r="G118" t="str">
            <v>71200- 80</v>
          </cell>
          <cell r="H118">
            <v>1</v>
          </cell>
          <cell r="I118" t="str">
            <v>7150/5900</v>
          </cell>
        </row>
        <row r="119">
          <cell r="A119" t="str">
            <v>03980-022</v>
          </cell>
          <cell r="C119" t="str">
            <v>PLATE</v>
          </cell>
          <cell r="D119" t="str">
            <v>C S</v>
          </cell>
          <cell r="E119" t="str">
            <v>PL103x70x9t</v>
          </cell>
          <cell r="G119" t="str">
            <v>71200- 80</v>
          </cell>
          <cell r="H119">
            <v>4</v>
          </cell>
          <cell r="I119" t="str">
            <v>7150/5900</v>
          </cell>
        </row>
        <row r="120">
          <cell r="A120" t="str">
            <v>03980-022</v>
          </cell>
          <cell r="C120" t="str">
            <v>PLATE</v>
          </cell>
          <cell r="D120" t="str">
            <v>C S</v>
          </cell>
          <cell r="E120" t="str">
            <v>PL100x50x12t</v>
          </cell>
          <cell r="G120" t="str">
            <v>71200- 80</v>
          </cell>
          <cell r="H120">
            <v>2</v>
          </cell>
          <cell r="I120" t="str">
            <v>7150/5900</v>
          </cell>
        </row>
        <row r="121">
          <cell r="A121" t="str">
            <v>03980-022</v>
          </cell>
          <cell r="C121" t="str">
            <v>PLATE</v>
          </cell>
          <cell r="D121" t="str">
            <v>C S</v>
          </cell>
          <cell r="E121" t="str">
            <v>PL80x50x9t</v>
          </cell>
          <cell r="G121" t="str">
            <v>71200- 80</v>
          </cell>
          <cell r="H121">
            <v>2</v>
          </cell>
          <cell r="I121" t="str">
            <v>7150/5900</v>
          </cell>
        </row>
        <row r="123">
          <cell r="A123" t="str">
            <v>03980-023</v>
          </cell>
          <cell r="C123" t="str">
            <v>CT</v>
          </cell>
          <cell r="D123" t="str">
            <v>C S</v>
          </cell>
          <cell r="E123" t="str">
            <v>CT100x150x6x9</v>
          </cell>
          <cell r="F123">
            <v>300</v>
          </cell>
          <cell r="G123" t="str">
            <v>71200- 80</v>
          </cell>
          <cell r="H123">
            <v>1</v>
          </cell>
          <cell r="I123" t="str">
            <v>7150/5900</v>
          </cell>
        </row>
        <row r="124">
          <cell r="A124" t="str">
            <v>03980-023</v>
          </cell>
          <cell r="C124" t="str">
            <v>PLATE</v>
          </cell>
          <cell r="D124" t="str">
            <v>C S</v>
          </cell>
          <cell r="E124" t="str">
            <v>PL103x70x9t</v>
          </cell>
          <cell r="G124" t="str">
            <v>71200- 80</v>
          </cell>
          <cell r="H124">
            <v>4</v>
          </cell>
          <cell r="I124" t="str">
            <v>7150/5900</v>
          </cell>
        </row>
        <row r="126">
          <cell r="A126" t="str">
            <v>03980-024</v>
          </cell>
          <cell r="C126" t="str">
            <v>H-BEAM</v>
          </cell>
          <cell r="D126" t="str">
            <v>C S</v>
          </cell>
          <cell r="E126" t="str">
            <v>H100x100x6x8</v>
          </cell>
          <cell r="F126">
            <v>1385</v>
          </cell>
          <cell r="G126" t="str">
            <v>16200-150</v>
          </cell>
          <cell r="H126">
            <v>1</v>
          </cell>
          <cell r="I126" t="str">
            <v>7150/5900</v>
          </cell>
        </row>
        <row r="127">
          <cell r="A127" t="str">
            <v>03980-024</v>
          </cell>
          <cell r="C127" t="str">
            <v>CLIP ANGLE</v>
          </cell>
          <cell r="D127" t="str">
            <v>C S</v>
          </cell>
          <cell r="E127" t="str">
            <v>L75x75x9</v>
          </cell>
          <cell r="F127">
            <v>50</v>
          </cell>
          <cell r="G127" t="str">
            <v>16200-150</v>
          </cell>
          <cell r="H127">
            <v>2</v>
          </cell>
          <cell r="I127" t="str">
            <v>7150/5900</v>
          </cell>
        </row>
        <row r="128">
          <cell r="A128" t="str">
            <v>03980-024</v>
          </cell>
          <cell r="C128" t="str">
            <v>U-BOLT</v>
          </cell>
          <cell r="D128" t="str">
            <v>C S</v>
          </cell>
          <cell r="E128" t="str">
            <v>DN150</v>
          </cell>
          <cell r="G128" t="str">
            <v>16200-150</v>
          </cell>
          <cell r="H128">
            <v>1</v>
          </cell>
          <cell r="I128" t="str">
            <v>7150/5900</v>
          </cell>
        </row>
        <row r="129">
          <cell r="A129" t="str">
            <v>03980-024</v>
          </cell>
          <cell r="C129" t="str">
            <v>U-BOLT</v>
          </cell>
          <cell r="D129" t="str">
            <v>C S</v>
          </cell>
          <cell r="E129" t="str">
            <v>DN 80</v>
          </cell>
          <cell r="G129" t="str">
            <v>16200- 80</v>
          </cell>
          <cell r="H129">
            <v>1</v>
          </cell>
          <cell r="I129" t="str">
            <v>7150/5900</v>
          </cell>
        </row>
        <row r="131">
          <cell r="A131" t="str">
            <v>03980-025</v>
          </cell>
          <cell r="C131" t="str">
            <v>H-BEAM</v>
          </cell>
          <cell r="D131" t="str">
            <v>C S</v>
          </cell>
          <cell r="E131" t="str">
            <v>H100x100x6x8</v>
          </cell>
          <cell r="F131">
            <v>1385</v>
          </cell>
          <cell r="G131" t="str">
            <v>16320-100</v>
          </cell>
          <cell r="H131">
            <v>1</v>
          </cell>
          <cell r="I131" t="str">
            <v>7150/5900</v>
          </cell>
        </row>
        <row r="132">
          <cell r="A132" t="str">
            <v>03980-025</v>
          </cell>
          <cell r="C132" t="str">
            <v>CLIP ANGLE</v>
          </cell>
          <cell r="D132" t="str">
            <v>C S</v>
          </cell>
          <cell r="E132" t="str">
            <v>L75x75x9</v>
          </cell>
          <cell r="F132">
            <v>50</v>
          </cell>
          <cell r="G132" t="str">
            <v>16320-100</v>
          </cell>
          <cell r="H132">
            <v>2</v>
          </cell>
          <cell r="I132" t="str">
            <v>7150/5900</v>
          </cell>
        </row>
        <row r="134">
          <cell r="A134" t="str">
            <v>03980-026</v>
          </cell>
          <cell r="C134" t="str">
            <v>H-BEAM</v>
          </cell>
          <cell r="D134" t="str">
            <v>C S</v>
          </cell>
          <cell r="E134" t="str">
            <v>H100x100x6x8</v>
          </cell>
          <cell r="F134">
            <v>1385</v>
          </cell>
          <cell r="G134" t="str">
            <v>16200-100</v>
          </cell>
          <cell r="H134">
            <v>1</v>
          </cell>
          <cell r="I134" t="str">
            <v>7150/5900</v>
          </cell>
        </row>
        <row r="135">
          <cell r="A135" t="str">
            <v>03980-026</v>
          </cell>
          <cell r="C135" t="str">
            <v>CLIP ANGLE</v>
          </cell>
          <cell r="D135" t="str">
            <v>C S</v>
          </cell>
          <cell r="E135" t="str">
            <v>L75x75x9</v>
          </cell>
          <cell r="F135">
            <v>50</v>
          </cell>
          <cell r="G135" t="str">
            <v>16200-100</v>
          </cell>
          <cell r="H135">
            <v>2</v>
          </cell>
          <cell r="I135" t="str">
            <v>7150/5900</v>
          </cell>
        </row>
        <row r="136">
          <cell r="A136" t="str">
            <v>03980-026</v>
          </cell>
          <cell r="C136" t="str">
            <v>U-BOLT</v>
          </cell>
          <cell r="D136" t="str">
            <v>C S</v>
          </cell>
          <cell r="E136" t="str">
            <v>DN100</v>
          </cell>
          <cell r="G136" t="str">
            <v>16200-100</v>
          </cell>
          <cell r="H136">
            <v>1</v>
          </cell>
          <cell r="I136" t="str">
            <v>7150/5900</v>
          </cell>
        </row>
        <row r="137">
          <cell r="A137" t="str">
            <v>03980-026</v>
          </cell>
          <cell r="C137" t="str">
            <v>U-BOLT</v>
          </cell>
          <cell r="D137" t="str">
            <v>C S</v>
          </cell>
          <cell r="E137" t="str">
            <v>DN100</v>
          </cell>
          <cell r="G137" t="str">
            <v>16320-100</v>
          </cell>
          <cell r="H137">
            <v>1</v>
          </cell>
          <cell r="I137" t="str">
            <v>7150/5900</v>
          </cell>
        </row>
        <row r="139">
          <cell r="A139" t="str">
            <v>03980-027</v>
          </cell>
          <cell r="C139" t="str">
            <v>H-BEAM</v>
          </cell>
          <cell r="D139" t="str">
            <v>C S</v>
          </cell>
          <cell r="E139" t="str">
            <v>H100x100x6x8</v>
          </cell>
          <cell r="F139">
            <v>1385</v>
          </cell>
          <cell r="G139" t="str">
            <v>16100-100</v>
          </cell>
          <cell r="H139">
            <v>1</v>
          </cell>
          <cell r="I139" t="str">
            <v>7150/5900</v>
          </cell>
        </row>
        <row r="140">
          <cell r="A140" t="str">
            <v>03980-027</v>
          </cell>
          <cell r="C140" t="str">
            <v>CLIP ANGLE</v>
          </cell>
          <cell r="D140" t="str">
            <v>C S</v>
          </cell>
          <cell r="E140" t="str">
            <v>L75x75x9</v>
          </cell>
          <cell r="F140">
            <v>50</v>
          </cell>
          <cell r="G140" t="str">
            <v>16100-100</v>
          </cell>
          <cell r="H140">
            <v>2</v>
          </cell>
          <cell r="I140" t="str">
            <v>7150/5900</v>
          </cell>
        </row>
        <row r="142">
          <cell r="A142" t="str">
            <v>03980-028</v>
          </cell>
          <cell r="C142" t="str">
            <v>H-BEAM</v>
          </cell>
          <cell r="D142" t="str">
            <v>C S</v>
          </cell>
          <cell r="E142" t="str">
            <v>H100x100x6x8</v>
          </cell>
          <cell r="F142">
            <v>1385</v>
          </cell>
          <cell r="G142" t="str">
            <v>16100-150</v>
          </cell>
          <cell r="H142">
            <v>1</v>
          </cell>
          <cell r="I142" t="str">
            <v>7150/5900</v>
          </cell>
        </row>
        <row r="143">
          <cell r="A143" t="str">
            <v>03980-028</v>
          </cell>
          <cell r="C143" t="str">
            <v>CLIP ANGLE</v>
          </cell>
          <cell r="D143" t="str">
            <v>C S</v>
          </cell>
          <cell r="E143" t="str">
            <v>L75x75x9</v>
          </cell>
          <cell r="F143">
            <v>50</v>
          </cell>
          <cell r="G143" t="str">
            <v>16100-150</v>
          </cell>
          <cell r="H143">
            <v>2</v>
          </cell>
          <cell r="I143" t="str">
            <v>7150/5900</v>
          </cell>
        </row>
        <row r="144">
          <cell r="A144" t="str">
            <v>03980-028</v>
          </cell>
          <cell r="C144" t="str">
            <v>U-BOLT</v>
          </cell>
          <cell r="D144" t="str">
            <v>C S</v>
          </cell>
          <cell r="E144" t="str">
            <v>DN150</v>
          </cell>
          <cell r="G144" t="str">
            <v>16100-150</v>
          </cell>
          <cell r="H144">
            <v>1</v>
          </cell>
          <cell r="I144" t="str">
            <v>7150/5900</v>
          </cell>
        </row>
        <row r="145">
          <cell r="A145" t="str">
            <v>03980-028</v>
          </cell>
          <cell r="C145" t="str">
            <v>U-BOLT</v>
          </cell>
          <cell r="D145" t="str">
            <v>C S</v>
          </cell>
          <cell r="E145" t="str">
            <v>DN100</v>
          </cell>
          <cell r="G145" t="str">
            <v>16200-100</v>
          </cell>
          <cell r="H145">
            <v>1</v>
          </cell>
          <cell r="I145" t="str">
            <v>7150/5900</v>
          </cell>
        </row>
        <row r="146">
          <cell r="A146" t="str">
            <v>03980-028</v>
          </cell>
          <cell r="C146" t="str">
            <v>U-BOLT</v>
          </cell>
          <cell r="D146" t="str">
            <v>C S</v>
          </cell>
          <cell r="E146" t="str">
            <v>DN100</v>
          </cell>
          <cell r="G146" t="str">
            <v>16100-100</v>
          </cell>
          <cell r="H146">
            <v>1</v>
          </cell>
          <cell r="I146" t="str">
            <v>7150/5900</v>
          </cell>
        </row>
        <row r="148">
          <cell r="A148" t="str">
            <v>03980-029</v>
          </cell>
          <cell r="C148" t="str">
            <v>H-BEAM</v>
          </cell>
          <cell r="D148" t="str">
            <v>C S</v>
          </cell>
          <cell r="E148" t="str">
            <v>H100x100x6x8</v>
          </cell>
          <cell r="F148">
            <v>1780</v>
          </cell>
          <cell r="G148" t="str">
            <v>16100-150</v>
          </cell>
          <cell r="H148">
            <v>1</v>
          </cell>
          <cell r="I148" t="str">
            <v>7150/5900</v>
          </cell>
        </row>
        <row r="149">
          <cell r="A149" t="str">
            <v>03980-029</v>
          </cell>
          <cell r="C149" t="str">
            <v>CLIP ANGLE</v>
          </cell>
          <cell r="D149" t="str">
            <v>C S</v>
          </cell>
          <cell r="E149" t="str">
            <v>L75x75x9</v>
          </cell>
          <cell r="F149">
            <v>50</v>
          </cell>
          <cell r="G149" t="str">
            <v>16100-150</v>
          </cell>
          <cell r="H149">
            <v>2</v>
          </cell>
          <cell r="I149" t="str">
            <v>7150/5900</v>
          </cell>
        </row>
        <row r="151">
          <cell r="A151" t="str">
            <v>03980-030</v>
          </cell>
          <cell r="C151" t="str">
            <v>H-BEAM</v>
          </cell>
          <cell r="D151" t="str">
            <v>C S</v>
          </cell>
          <cell r="E151" t="str">
            <v>H100x100x6x8</v>
          </cell>
          <cell r="F151">
            <v>1385</v>
          </cell>
          <cell r="G151" t="str">
            <v>16200-100</v>
          </cell>
          <cell r="H151">
            <v>1</v>
          </cell>
          <cell r="I151" t="str">
            <v>7150/5900</v>
          </cell>
        </row>
        <row r="152">
          <cell r="A152" t="str">
            <v>03980-030</v>
          </cell>
          <cell r="C152" t="str">
            <v>CLIP ANGLE</v>
          </cell>
          <cell r="D152" t="str">
            <v>C S</v>
          </cell>
          <cell r="E152" t="str">
            <v>L75x75x9</v>
          </cell>
          <cell r="F152">
            <v>50</v>
          </cell>
          <cell r="G152" t="str">
            <v>16200-100</v>
          </cell>
          <cell r="H152">
            <v>2</v>
          </cell>
          <cell r="I152" t="str">
            <v>7150/5900</v>
          </cell>
        </row>
        <row r="154">
          <cell r="A154" t="str">
            <v>03980-031</v>
          </cell>
          <cell r="C154" t="str">
            <v>H-BEAM</v>
          </cell>
          <cell r="D154" t="str">
            <v>C S</v>
          </cell>
          <cell r="E154" t="str">
            <v>H100x100x6x8</v>
          </cell>
          <cell r="F154">
            <v>700</v>
          </cell>
          <cell r="G154" t="str">
            <v>16200-100</v>
          </cell>
          <cell r="H154">
            <v>1</v>
          </cell>
          <cell r="I154" t="str">
            <v>7150/5900</v>
          </cell>
        </row>
        <row r="156">
          <cell r="A156" t="str">
            <v>03980-032</v>
          </cell>
          <cell r="C156" t="str">
            <v>U-BOLT</v>
          </cell>
          <cell r="D156" t="str">
            <v>C S</v>
          </cell>
          <cell r="E156" t="str">
            <v>DN100</v>
          </cell>
          <cell r="G156" t="str">
            <v>16320-100</v>
          </cell>
          <cell r="H156">
            <v>1</v>
          </cell>
          <cell r="I156" t="str">
            <v>7150/5900</v>
          </cell>
        </row>
        <row r="157">
          <cell r="A157" t="str">
            <v>03980-032</v>
          </cell>
          <cell r="C157" t="str">
            <v>ANGLE</v>
          </cell>
          <cell r="D157" t="str">
            <v>C S</v>
          </cell>
          <cell r="E157" t="str">
            <v>L75x75x9</v>
          </cell>
          <cell r="F157">
            <v>527</v>
          </cell>
          <cell r="G157" t="str">
            <v>16320-100</v>
          </cell>
          <cell r="H157">
            <v>1</v>
          </cell>
          <cell r="I157" t="str">
            <v>7150/5900</v>
          </cell>
        </row>
        <row r="158">
          <cell r="A158" t="str">
            <v>03980-032</v>
          </cell>
          <cell r="C158" t="str">
            <v>PLATE</v>
          </cell>
          <cell r="D158" t="str">
            <v>C S</v>
          </cell>
          <cell r="E158" t="str">
            <v>PL200x200x12t</v>
          </cell>
          <cell r="G158" t="str">
            <v>16320-100</v>
          </cell>
          <cell r="H158">
            <v>1</v>
          </cell>
          <cell r="I158" t="str">
            <v>7150/5900</v>
          </cell>
        </row>
        <row r="159">
          <cell r="A159" t="str">
            <v>03980-032</v>
          </cell>
          <cell r="C159" t="str">
            <v>ANCHOR BOLT</v>
          </cell>
          <cell r="D159" t="str">
            <v>C S</v>
          </cell>
          <cell r="E159" t="str">
            <v>M12x155L</v>
          </cell>
          <cell r="G159" t="str">
            <v>16320-100</v>
          </cell>
          <cell r="H159">
            <v>4</v>
          </cell>
          <cell r="I159" t="str">
            <v>7150/5900</v>
          </cell>
        </row>
        <row r="161">
          <cell r="A161" t="str">
            <v>03980-033</v>
          </cell>
          <cell r="C161" t="str">
            <v>CHANNEL</v>
          </cell>
          <cell r="D161" t="str">
            <v>C S</v>
          </cell>
          <cell r="E161" t="str">
            <v>C100x50x5x7.5</v>
          </cell>
          <cell r="F161">
            <v>500</v>
          </cell>
          <cell r="G161" t="str">
            <v>16200- 80</v>
          </cell>
          <cell r="H161">
            <v>1</v>
          </cell>
        </row>
        <row r="162">
          <cell r="A162" t="str">
            <v>03980-033</v>
          </cell>
          <cell r="C162" t="str">
            <v>3-BOLT PIPE CLAMP</v>
          </cell>
          <cell r="D162" t="str">
            <v>C S</v>
          </cell>
          <cell r="E162" t="str">
            <v>DN 80</v>
          </cell>
          <cell r="G162" t="str">
            <v>16200- 80</v>
          </cell>
          <cell r="H162">
            <v>1</v>
          </cell>
          <cell r="I162" t="str">
            <v>7150/5900</v>
          </cell>
        </row>
        <row r="163">
          <cell r="A163" t="str">
            <v>03980-033</v>
          </cell>
          <cell r="C163" t="str">
            <v>WEL'D BEAM ATTACH.</v>
          </cell>
          <cell r="D163" t="str">
            <v>C S</v>
          </cell>
          <cell r="E163" t="str">
            <v>M12</v>
          </cell>
          <cell r="G163" t="str">
            <v>16200- 80</v>
          </cell>
          <cell r="H163">
            <v>1</v>
          </cell>
          <cell r="I163" t="str">
            <v>7150/5900</v>
          </cell>
        </row>
        <row r="164">
          <cell r="A164" t="str">
            <v>03980-033</v>
          </cell>
          <cell r="C164" t="str">
            <v>EYE NUT</v>
          </cell>
          <cell r="D164" t="str">
            <v>C S</v>
          </cell>
          <cell r="E164" t="str">
            <v>M12</v>
          </cell>
          <cell r="G164" t="str">
            <v>16200- 80</v>
          </cell>
          <cell r="H164">
            <v>2</v>
          </cell>
          <cell r="I164" t="str">
            <v>7150/5900</v>
          </cell>
        </row>
        <row r="165">
          <cell r="A165" t="str">
            <v>03980-033</v>
          </cell>
          <cell r="C165" t="str">
            <v>THR'D ROD</v>
          </cell>
          <cell r="D165" t="str">
            <v>C S</v>
          </cell>
          <cell r="E165" t="str">
            <v>M12</v>
          </cell>
          <cell r="F165">
            <v>360</v>
          </cell>
          <cell r="G165" t="str">
            <v>16200- 80</v>
          </cell>
          <cell r="H165">
            <v>1</v>
          </cell>
          <cell r="I165" t="str">
            <v>7150/5900</v>
          </cell>
        </row>
        <row r="166">
          <cell r="A166" t="str">
            <v>03980-033</v>
          </cell>
          <cell r="C166" t="str">
            <v>PLATE</v>
          </cell>
          <cell r="D166" t="str">
            <v>C S</v>
          </cell>
          <cell r="E166" t="str">
            <v>PL200x200x12t</v>
          </cell>
          <cell r="G166" t="str">
            <v>16200- 80</v>
          </cell>
          <cell r="H166">
            <v>1</v>
          </cell>
          <cell r="I166" t="str">
            <v>7150/5900</v>
          </cell>
        </row>
        <row r="167">
          <cell r="A167" t="str">
            <v>03980-033</v>
          </cell>
          <cell r="C167" t="str">
            <v>ANCHOR BOLT</v>
          </cell>
          <cell r="D167" t="str">
            <v>C S</v>
          </cell>
          <cell r="E167" t="str">
            <v>M12x155L</v>
          </cell>
          <cell r="G167" t="str">
            <v>16200- 80</v>
          </cell>
          <cell r="H167">
            <v>4</v>
          </cell>
          <cell r="I167" t="str">
            <v>7150/5900</v>
          </cell>
        </row>
        <row r="169">
          <cell r="A169" t="str">
            <v>03980-034</v>
          </cell>
          <cell r="C169" t="str">
            <v>U-BOLT</v>
          </cell>
          <cell r="D169" t="str">
            <v>C S</v>
          </cell>
          <cell r="E169" t="str">
            <v>DN100</v>
          </cell>
          <cell r="G169" t="str">
            <v>16320-100</v>
          </cell>
          <cell r="H169">
            <v>1</v>
          </cell>
          <cell r="I169" t="str">
            <v>7150/5900</v>
          </cell>
        </row>
        <row r="170">
          <cell r="A170" t="str">
            <v>03980-034</v>
          </cell>
          <cell r="C170" t="str">
            <v>ANGLE</v>
          </cell>
          <cell r="D170" t="str">
            <v>C S</v>
          </cell>
          <cell r="E170" t="str">
            <v>L75x75x9</v>
          </cell>
          <cell r="F170">
            <v>514</v>
          </cell>
          <cell r="G170" t="str">
            <v>16320-100</v>
          </cell>
          <cell r="H170">
            <v>1</v>
          </cell>
          <cell r="I170" t="str">
            <v>7150/5900</v>
          </cell>
        </row>
        <row r="171">
          <cell r="A171" t="str">
            <v>03980-034</v>
          </cell>
          <cell r="C171" t="str">
            <v>PLATE</v>
          </cell>
          <cell r="D171" t="str">
            <v>C S</v>
          </cell>
          <cell r="E171" t="str">
            <v>PL200x200x12t</v>
          </cell>
          <cell r="G171" t="str">
            <v>16320-100</v>
          </cell>
          <cell r="H171">
            <v>1</v>
          </cell>
          <cell r="I171" t="str">
            <v>7150/5900</v>
          </cell>
        </row>
        <row r="172">
          <cell r="A172" t="str">
            <v>03980-034</v>
          </cell>
          <cell r="C172" t="str">
            <v>ANCHOR BOLT</v>
          </cell>
          <cell r="D172" t="str">
            <v>C S</v>
          </cell>
          <cell r="E172" t="str">
            <v>M12x155L</v>
          </cell>
          <cell r="G172" t="str">
            <v>16320-100</v>
          </cell>
          <cell r="H172">
            <v>4</v>
          </cell>
          <cell r="I172" t="str">
            <v>7150/5900</v>
          </cell>
        </row>
        <row r="174">
          <cell r="A174" t="str">
            <v>03980-035</v>
          </cell>
          <cell r="C174" t="str">
            <v>H-BEAM</v>
          </cell>
          <cell r="D174" t="str">
            <v>C S</v>
          </cell>
          <cell r="E174" t="str">
            <v>H100x100x6x8</v>
          </cell>
          <cell r="F174">
            <v>462</v>
          </cell>
          <cell r="G174" t="str">
            <v>16100-150</v>
          </cell>
          <cell r="H174">
            <v>1</v>
          </cell>
          <cell r="I174" t="str">
            <v>7150/5900</v>
          </cell>
        </row>
        <row r="175">
          <cell r="A175" t="str">
            <v>03980-035</v>
          </cell>
          <cell r="C175" t="str">
            <v>ANGLE</v>
          </cell>
          <cell r="D175" t="str">
            <v>C S</v>
          </cell>
          <cell r="E175" t="str">
            <v>L75x75x9</v>
          </cell>
          <cell r="F175">
            <v>330</v>
          </cell>
          <cell r="G175" t="str">
            <v>16100-150</v>
          </cell>
          <cell r="H175">
            <v>1</v>
          </cell>
          <cell r="I175" t="str">
            <v>7150/5900</v>
          </cell>
        </row>
        <row r="176">
          <cell r="A176" t="str">
            <v>03980-035</v>
          </cell>
          <cell r="C176" t="str">
            <v>PLATE</v>
          </cell>
          <cell r="D176" t="str">
            <v>C S</v>
          </cell>
          <cell r="E176" t="str">
            <v>PL200x200x12t</v>
          </cell>
          <cell r="G176" t="str">
            <v>16100-150</v>
          </cell>
          <cell r="H176">
            <v>1</v>
          </cell>
          <cell r="I176" t="str">
            <v>7150/5900</v>
          </cell>
        </row>
        <row r="177">
          <cell r="A177" t="str">
            <v>03980-035</v>
          </cell>
          <cell r="C177" t="str">
            <v>ANCHOR BOLT</v>
          </cell>
          <cell r="D177" t="str">
            <v>C S</v>
          </cell>
          <cell r="E177" t="str">
            <v>M16x177L</v>
          </cell>
          <cell r="G177" t="str">
            <v>16100-150</v>
          </cell>
          <cell r="H177">
            <v>4</v>
          </cell>
          <cell r="I177" t="str">
            <v>7150/5900</v>
          </cell>
        </row>
        <row r="178">
          <cell r="A178" t="str">
            <v>03980-035</v>
          </cell>
          <cell r="C178" t="str">
            <v>U-BOLT</v>
          </cell>
          <cell r="D178" t="str">
            <v>C S</v>
          </cell>
          <cell r="E178" t="str">
            <v>DN150</v>
          </cell>
          <cell r="G178" t="str">
            <v>16100-150</v>
          </cell>
          <cell r="H178">
            <v>1</v>
          </cell>
          <cell r="I178" t="str">
            <v>7150/5900</v>
          </cell>
        </row>
        <row r="180">
          <cell r="A180" t="str">
            <v>03980-036</v>
          </cell>
          <cell r="C180" t="str">
            <v>CHANNEL</v>
          </cell>
          <cell r="D180" t="str">
            <v>C S</v>
          </cell>
          <cell r="E180" t="str">
            <v>C100x50x5x7.5</v>
          </cell>
          <cell r="F180">
            <v>450</v>
          </cell>
          <cell r="G180" t="str">
            <v>16320- 80</v>
          </cell>
          <cell r="H180">
            <v>1</v>
          </cell>
        </row>
        <row r="181">
          <cell r="A181" t="str">
            <v>03980-036</v>
          </cell>
          <cell r="C181" t="str">
            <v>3-BOLT PIPE CLAMP</v>
          </cell>
          <cell r="D181" t="str">
            <v>C S</v>
          </cell>
          <cell r="E181" t="str">
            <v>DN 80</v>
          </cell>
          <cell r="G181" t="str">
            <v>16320- 80</v>
          </cell>
          <cell r="H181">
            <v>1</v>
          </cell>
          <cell r="I181" t="str">
            <v>7150/5900</v>
          </cell>
        </row>
        <row r="182">
          <cell r="A182" t="str">
            <v>03980-036</v>
          </cell>
          <cell r="C182" t="str">
            <v>WEL'D BEAM ATTACH.</v>
          </cell>
          <cell r="D182" t="str">
            <v>C S</v>
          </cell>
          <cell r="E182" t="str">
            <v>M12</v>
          </cell>
          <cell r="G182" t="str">
            <v>16320- 80</v>
          </cell>
          <cell r="H182">
            <v>1</v>
          </cell>
          <cell r="I182" t="str">
            <v>7150/5900</v>
          </cell>
        </row>
        <row r="183">
          <cell r="A183" t="str">
            <v>03980-036</v>
          </cell>
          <cell r="C183" t="str">
            <v>EYE NUT</v>
          </cell>
          <cell r="D183" t="str">
            <v>C S</v>
          </cell>
          <cell r="E183" t="str">
            <v>M12</v>
          </cell>
          <cell r="G183" t="str">
            <v>16320- 80</v>
          </cell>
          <cell r="H183">
            <v>2</v>
          </cell>
          <cell r="I183" t="str">
            <v>7150/5900</v>
          </cell>
        </row>
        <row r="184">
          <cell r="A184" t="str">
            <v>03980-036</v>
          </cell>
          <cell r="C184" t="str">
            <v>THR'D ROD</v>
          </cell>
          <cell r="D184" t="str">
            <v>C S</v>
          </cell>
          <cell r="E184" t="str">
            <v>M12</v>
          </cell>
          <cell r="F184">
            <v>1161</v>
          </cell>
          <cell r="G184" t="str">
            <v>16320- 80</v>
          </cell>
          <cell r="H184">
            <v>1</v>
          </cell>
          <cell r="I184" t="str">
            <v>7150/5900</v>
          </cell>
        </row>
        <row r="186">
          <cell r="A186" t="str">
            <v>03980-037</v>
          </cell>
          <cell r="C186" t="str">
            <v>H-BEAM</v>
          </cell>
          <cell r="D186" t="str">
            <v>C S</v>
          </cell>
          <cell r="E186" t="str">
            <v>H100x100x6x8</v>
          </cell>
          <cell r="F186">
            <v>284</v>
          </cell>
          <cell r="G186" t="str">
            <v>16320- 80</v>
          </cell>
          <cell r="H186">
            <v>1</v>
          </cell>
          <cell r="I186" t="str">
            <v>7150/5900</v>
          </cell>
        </row>
        <row r="187">
          <cell r="A187" t="str">
            <v>03980-037</v>
          </cell>
          <cell r="C187" t="str">
            <v>ANGLE</v>
          </cell>
          <cell r="D187" t="str">
            <v>C S</v>
          </cell>
          <cell r="E187" t="str">
            <v>L75x75x9</v>
          </cell>
          <cell r="F187">
            <v>225</v>
          </cell>
          <cell r="G187" t="str">
            <v>16320- 80</v>
          </cell>
          <cell r="H187">
            <v>1</v>
          </cell>
          <cell r="I187" t="str">
            <v>7150/5900</v>
          </cell>
        </row>
        <row r="188">
          <cell r="A188" t="str">
            <v>03980-037</v>
          </cell>
          <cell r="C188" t="str">
            <v>U-BOLT</v>
          </cell>
          <cell r="D188" t="str">
            <v>C S</v>
          </cell>
          <cell r="E188" t="str">
            <v>DN 80</v>
          </cell>
          <cell r="G188" t="str">
            <v>16320- 80</v>
          </cell>
          <cell r="H188">
            <v>1</v>
          </cell>
          <cell r="I188" t="str">
            <v>7150/5900</v>
          </cell>
        </row>
        <row r="189">
          <cell r="A189" t="str">
            <v>03980-037</v>
          </cell>
          <cell r="C189" t="str">
            <v>PLATE</v>
          </cell>
          <cell r="D189" t="str">
            <v>C S</v>
          </cell>
          <cell r="E189" t="str">
            <v>PL200x200x12t</v>
          </cell>
          <cell r="G189" t="str">
            <v>16320- 80</v>
          </cell>
          <cell r="H189">
            <v>1</v>
          </cell>
          <cell r="I189" t="str">
            <v>7150/5900</v>
          </cell>
        </row>
        <row r="190">
          <cell r="A190" t="str">
            <v>03980-037</v>
          </cell>
          <cell r="C190" t="str">
            <v>ANCHOR BOLT</v>
          </cell>
          <cell r="D190" t="str">
            <v>C S</v>
          </cell>
          <cell r="E190" t="str">
            <v>M12x155L</v>
          </cell>
          <cell r="G190" t="str">
            <v>16320- 80</v>
          </cell>
          <cell r="H190">
            <v>4</v>
          </cell>
          <cell r="I190" t="str">
            <v>7150/5900</v>
          </cell>
        </row>
        <row r="192">
          <cell r="A192" t="str">
            <v>03980-038</v>
          </cell>
          <cell r="C192" t="str">
            <v>ANGLE</v>
          </cell>
          <cell r="D192" t="str">
            <v>C S</v>
          </cell>
          <cell r="E192" t="str">
            <v>L75x75x9</v>
          </cell>
          <cell r="F192">
            <v>284</v>
          </cell>
          <cell r="G192" t="str">
            <v>16320- 80</v>
          </cell>
          <cell r="H192">
            <v>1</v>
          </cell>
          <cell r="I192" t="str">
            <v>7150/5900</v>
          </cell>
        </row>
        <row r="193">
          <cell r="A193" t="str">
            <v>03980-038</v>
          </cell>
          <cell r="C193" t="str">
            <v>U-BOLT</v>
          </cell>
          <cell r="D193" t="str">
            <v>C S</v>
          </cell>
          <cell r="E193" t="str">
            <v>DN 80</v>
          </cell>
          <cell r="G193" t="str">
            <v>16320- 80</v>
          </cell>
          <cell r="H193">
            <v>1</v>
          </cell>
          <cell r="I193" t="str">
            <v>7150/5900</v>
          </cell>
        </row>
        <row r="194">
          <cell r="A194" t="str">
            <v>03980-038</v>
          </cell>
          <cell r="C194" t="str">
            <v>PLATE</v>
          </cell>
          <cell r="D194" t="str">
            <v>C S</v>
          </cell>
          <cell r="E194" t="str">
            <v>PL200x100x12t</v>
          </cell>
          <cell r="G194" t="str">
            <v>16320- 80</v>
          </cell>
          <cell r="H194">
            <v>1</v>
          </cell>
          <cell r="I194" t="str">
            <v>7150/5900</v>
          </cell>
        </row>
        <row r="195">
          <cell r="A195" t="str">
            <v>03980-038</v>
          </cell>
          <cell r="C195" t="str">
            <v>ANCHOR BOLT</v>
          </cell>
          <cell r="D195" t="str">
            <v>C S</v>
          </cell>
          <cell r="E195" t="str">
            <v>M12x155L</v>
          </cell>
          <cell r="G195" t="str">
            <v>16320- 80</v>
          </cell>
          <cell r="H195">
            <v>2</v>
          </cell>
          <cell r="I195" t="str">
            <v>7150/5900</v>
          </cell>
        </row>
      </sheetData>
      <sheetData sheetId="5" refreshError="1"/>
      <sheetData sheetId="6" refreshError="1"/>
      <sheetData sheetId="7" refreshError="1"/>
      <sheetData sheetId="8" refreshError="1"/>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설내1"/>
      <sheetName val="설품"/>
      <sheetName val="설산1"/>
      <sheetName val="설산2"/>
      <sheetName val="설산3"/>
      <sheetName val="설비SUPP산출"/>
      <sheetName val="현장지지물물량"/>
      <sheetName val="지지물집계"/>
      <sheetName val="현장집계3"/>
    </sheetNames>
    <sheetDataSet>
      <sheetData sheetId="0" refreshError="1"/>
      <sheetData sheetId="1" refreshError="1"/>
      <sheetData sheetId="2" refreshError="1"/>
      <sheetData sheetId="3" refreshError="1"/>
      <sheetData sheetId="4" refreshError="1"/>
      <sheetData sheetId="5" refreshError="1"/>
      <sheetData sheetId="6" refreshError="1">
        <row r="9">
          <cell r="A9" t="str">
            <v>85500-001</v>
          </cell>
          <cell r="C9" t="str">
            <v>CHANNEL</v>
          </cell>
          <cell r="D9" t="str">
            <v>C S</v>
          </cell>
          <cell r="E9" t="str">
            <v>ㄷ100x50x5</v>
          </cell>
          <cell r="F9">
            <v>6100</v>
          </cell>
          <cell r="G9" t="str">
            <v>71730-150</v>
          </cell>
          <cell r="H9">
            <v>1</v>
          </cell>
          <cell r="I9" t="str">
            <v>5900/2200</v>
          </cell>
        </row>
        <row r="10">
          <cell r="A10" t="str">
            <v>85500-001</v>
          </cell>
          <cell r="C10" t="str">
            <v>ANGLE</v>
          </cell>
          <cell r="D10" t="str">
            <v>C S</v>
          </cell>
          <cell r="E10" t="str">
            <v>L50X50X6</v>
          </cell>
          <cell r="F10">
            <v>1800</v>
          </cell>
          <cell r="G10" t="str">
            <v>71730-150</v>
          </cell>
          <cell r="H10">
            <v>1</v>
          </cell>
          <cell r="I10" t="str">
            <v>5900/2200</v>
          </cell>
        </row>
        <row r="11">
          <cell r="A11" t="str">
            <v>85500-001</v>
          </cell>
          <cell r="C11" t="str">
            <v>U-BOLT</v>
          </cell>
          <cell r="D11" t="str">
            <v>C S</v>
          </cell>
          <cell r="E11" t="str">
            <v>DN150</v>
          </cell>
          <cell r="G11" t="str">
            <v>71730-150</v>
          </cell>
          <cell r="H11">
            <v>6</v>
          </cell>
          <cell r="I11" t="str">
            <v>5900/2200</v>
          </cell>
        </row>
        <row r="12">
          <cell r="A12" t="str">
            <v>85500-001</v>
          </cell>
          <cell r="C12" t="str">
            <v>ANCHOR BOLT</v>
          </cell>
          <cell r="D12" t="str">
            <v>C S</v>
          </cell>
          <cell r="E12" t="str">
            <v>M10x80L</v>
          </cell>
          <cell r="G12" t="str">
            <v>71730-150</v>
          </cell>
          <cell r="H12">
            <v>12</v>
          </cell>
          <cell r="I12" t="str">
            <v>5900/2200</v>
          </cell>
        </row>
        <row r="13">
          <cell r="A13" t="str">
            <v>85500-001</v>
          </cell>
          <cell r="C13" t="str">
            <v>STEEL PLATE</v>
          </cell>
          <cell r="D13" t="str">
            <v>C S</v>
          </cell>
          <cell r="E13" t="str">
            <v>PL150x150x9</v>
          </cell>
          <cell r="G13" t="str">
            <v>71730-150</v>
          </cell>
          <cell r="H13">
            <v>3</v>
          </cell>
          <cell r="I13" t="str">
            <v>5900/2200</v>
          </cell>
        </row>
        <row r="15">
          <cell r="A15" t="str">
            <v>85500-001</v>
          </cell>
          <cell r="C15" t="str">
            <v>CHANNEL</v>
          </cell>
          <cell r="D15" t="str">
            <v>C S</v>
          </cell>
          <cell r="E15" t="str">
            <v>ㄷ100x50x5</v>
          </cell>
          <cell r="F15">
            <v>2150</v>
          </cell>
          <cell r="G15" t="str">
            <v>71730-150</v>
          </cell>
          <cell r="H15">
            <v>5</v>
          </cell>
          <cell r="I15" t="str">
            <v>3150/2200</v>
          </cell>
        </row>
        <row r="16">
          <cell r="A16" t="str">
            <v>85500-001</v>
          </cell>
          <cell r="C16" t="str">
            <v>U-BOLT</v>
          </cell>
          <cell r="D16" t="str">
            <v>C S</v>
          </cell>
          <cell r="E16" t="str">
            <v>DN150</v>
          </cell>
          <cell r="G16" t="str">
            <v>71730-150</v>
          </cell>
          <cell r="H16">
            <v>10</v>
          </cell>
          <cell r="I16" t="str">
            <v>3150/2200</v>
          </cell>
        </row>
        <row r="17">
          <cell r="A17" t="str">
            <v>85500-001</v>
          </cell>
          <cell r="C17" t="str">
            <v>ANCHOR BOLT</v>
          </cell>
          <cell r="D17" t="str">
            <v>C S</v>
          </cell>
          <cell r="E17" t="str">
            <v>M10x80L</v>
          </cell>
          <cell r="G17" t="str">
            <v>71730-150</v>
          </cell>
          <cell r="H17">
            <v>40</v>
          </cell>
          <cell r="I17" t="str">
            <v>3150/2200</v>
          </cell>
        </row>
        <row r="18">
          <cell r="A18" t="str">
            <v>85500-001</v>
          </cell>
          <cell r="C18" t="str">
            <v>STEEL PLATE</v>
          </cell>
          <cell r="D18" t="str">
            <v>C S</v>
          </cell>
          <cell r="E18" t="str">
            <v>PL150x150x9</v>
          </cell>
          <cell r="G18" t="str">
            <v>71730-150</v>
          </cell>
          <cell r="H18">
            <v>10</v>
          </cell>
          <cell r="I18" t="str">
            <v>3150/2200</v>
          </cell>
        </row>
        <row r="20">
          <cell r="A20" t="str">
            <v>85500-001</v>
          </cell>
          <cell r="C20" t="str">
            <v>CHANNEL</v>
          </cell>
          <cell r="D20" t="str">
            <v>C S</v>
          </cell>
          <cell r="E20" t="str">
            <v>ㄷ100x50x5</v>
          </cell>
          <cell r="F20">
            <v>1900</v>
          </cell>
          <cell r="G20" t="str">
            <v>71730-150</v>
          </cell>
          <cell r="H20">
            <v>3</v>
          </cell>
          <cell r="I20" t="str">
            <v>3150/2200</v>
          </cell>
        </row>
        <row r="21">
          <cell r="A21" t="str">
            <v>85500-001</v>
          </cell>
          <cell r="C21" t="str">
            <v>U-BOLT</v>
          </cell>
          <cell r="D21" t="str">
            <v>C S</v>
          </cell>
          <cell r="E21" t="str">
            <v>DN150</v>
          </cell>
          <cell r="G21" t="str">
            <v>71730-150</v>
          </cell>
          <cell r="H21">
            <v>6</v>
          </cell>
          <cell r="I21" t="str">
            <v>3150/2200</v>
          </cell>
        </row>
        <row r="22">
          <cell r="A22" t="str">
            <v>85500-001</v>
          </cell>
          <cell r="C22" t="str">
            <v>ANCHOR BOLT</v>
          </cell>
          <cell r="D22" t="str">
            <v>C S</v>
          </cell>
          <cell r="E22" t="str">
            <v>M10x80L</v>
          </cell>
          <cell r="G22" t="str">
            <v>71730-150</v>
          </cell>
          <cell r="H22">
            <v>12</v>
          </cell>
          <cell r="I22" t="str">
            <v>3150/2200</v>
          </cell>
        </row>
        <row r="23">
          <cell r="A23" t="str">
            <v>85500-001</v>
          </cell>
          <cell r="C23" t="str">
            <v>STEEL PLATE</v>
          </cell>
          <cell r="D23" t="str">
            <v>C S</v>
          </cell>
          <cell r="E23" t="str">
            <v>PL150x150x9</v>
          </cell>
          <cell r="G23" t="str">
            <v>71730-150</v>
          </cell>
          <cell r="H23">
            <v>3</v>
          </cell>
          <cell r="I23" t="str">
            <v>3150/2200</v>
          </cell>
        </row>
      </sheetData>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현장배관물량"/>
      <sheetName val="현장배관물량집계"/>
      <sheetName val="현장지지물물량"/>
      <sheetName val="지지물집계"/>
      <sheetName val="현장집계3"/>
      <sheetName val="Sheet1"/>
    </sheetNames>
    <sheetDataSet>
      <sheetData sheetId="0" refreshError="1"/>
      <sheetData sheetId="1" refreshError="1"/>
      <sheetData sheetId="2" refreshError="1">
        <row r="1">
          <cell r="F1" t="str">
            <v>*********************************</v>
          </cell>
        </row>
        <row r="2">
          <cell r="F2" t="str">
            <v>*****   FIELD FAB. SUPPORT  *****</v>
          </cell>
        </row>
        <row r="3">
          <cell r="F3" t="str">
            <v>*********************************</v>
          </cell>
        </row>
        <row r="4">
          <cell r="A4" t="str">
            <v>=</v>
          </cell>
          <cell r="B4" t="str">
            <v>=</v>
          </cell>
          <cell r="C4" t="str">
            <v>=</v>
          </cell>
          <cell r="D4" t="str">
            <v>=</v>
          </cell>
          <cell r="E4" t="str">
            <v>=</v>
          </cell>
          <cell r="F4" t="str">
            <v>=</v>
          </cell>
          <cell r="G4" t="str">
            <v>=</v>
          </cell>
          <cell r="H4" t="str">
            <v>=</v>
          </cell>
          <cell r="I4" t="str">
            <v>=</v>
          </cell>
          <cell r="J4" t="str">
            <v>=</v>
          </cell>
          <cell r="K4" t="str">
            <v>=</v>
          </cell>
          <cell r="L4" t="str">
            <v>=</v>
          </cell>
          <cell r="M4" t="str">
            <v>=</v>
          </cell>
          <cell r="N4" t="str">
            <v>=</v>
          </cell>
          <cell r="Q4" t="str">
            <v>=</v>
          </cell>
        </row>
        <row r="5">
          <cell r="A5" t="str">
            <v>DWG.NO.</v>
          </cell>
          <cell r="B5" t="str">
            <v>SPEC</v>
          </cell>
          <cell r="C5" t="str">
            <v>ITEM</v>
          </cell>
          <cell r="D5" t="str">
            <v>MATERIAL</v>
          </cell>
          <cell r="E5" t="str">
            <v xml:space="preserve">    SIZE</v>
          </cell>
          <cell r="F5" t="str">
            <v>LANGTH</v>
          </cell>
          <cell r="G5" t="str">
            <v>SYS.-DIA</v>
          </cell>
          <cell r="H5" t="str">
            <v>TOTAL</v>
          </cell>
          <cell r="I5" t="str">
            <v>ELEVATION</v>
          </cell>
          <cell r="K5" t="str">
            <v>IN/OUT</v>
          </cell>
          <cell r="L5" t="str">
            <v>UNIT WT</v>
          </cell>
          <cell r="M5" t="str">
            <v>TOTAL WT</v>
          </cell>
          <cell r="N5" t="str">
            <v>REMARK</v>
          </cell>
          <cell r="P5" t="str">
            <v>SET</v>
          </cell>
          <cell r="Q5" t="str">
            <v>Q'TY</v>
          </cell>
        </row>
        <row r="6">
          <cell r="A6" t="str">
            <v>=</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t="str">
            <v>=</v>
          </cell>
          <cell r="Q6" t="str">
            <v>=</v>
          </cell>
        </row>
        <row r="8">
          <cell r="A8" t="str">
            <v>HBY</v>
          </cell>
        </row>
        <row r="9">
          <cell r="A9" t="str">
            <v>85500-001</v>
          </cell>
          <cell r="C9" t="str">
            <v>CHANNEL</v>
          </cell>
          <cell r="D9" t="str">
            <v>C S</v>
          </cell>
          <cell r="E9" t="str">
            <v>ㄷ100x50x5</v>
          </cell>
          <cell r="F9">
            <v>6100</v>
          </cell>
          <cell r="G9" t="str">
            <v>71730-150</v>
          </cell>
          <cell r="H9">
            <v>1</v>
          </cell>
          <cell r="I9" t="str">
            <v>5900/2200</v>
          </cell>
        </row>
        <row r="10">
          <cell r="A10" t="str">
            <v>85500-001</v>
          </cell>
          <cell r="C10" t="str">
            <v>ANGLE</v>
          </cell>
          <cell r="D10" t="str">
            <v>C S</v>
          </cell>
          <cell r="E10" t="str">
            <v>L50X50X6</v>
          </cell>
          <cell r="F10">
            <v>1800</v>
          </cell>
          <cell r="G10" t="str">
            <v>71730-150</v>
          </cell>
          <cell r="H10">
            <v>1</v>
          </cell>
          <cell r="I10" t="str">
            <v>5900/2200</v>
          </cell>
        </row>
        <row r="11">
          <cell r="A11" t="str">
            <v>85500-001</v>
          </cell>
          <cell r="C11" t="str">
            <v>U-BOLT</v>
          </cell>
          <cell r="D11" t="str">
            <v>C S</v>
          </cell>
          <cell r="E11" t="str">
            <v>DN150</v>
          </cell>
          <cell r="G11" t="str">
            <v>71730-150</v>
          </cell>
          <cell r="H11">
            <v>6</v>
          </cell>
          <cell r="I11" t="str">
            <v>5900/2200</v>
          </cell>
        </row>
        <row r="12">
          <cell r="A12" t="str">
            <v>85500-001</v>
          </cell>
          <cell r="C12" t="str">
            <v>ANCHOR BOLT</v>
          </cell>
          <cell r="D12" t="str">
            <v>C S</v>
          </cell>
          <cell r="E12" t="str">
            <v>M10x80L</v>
          </cell>
          <cell r="G12" t="str">
            <v>71730-150</v>
          </cell>
          <cell r="H12">
            <v>12</v>
          </cell>
          <cell r="I12" t="str">
            <v>5900/2200</v>
          </cell>
        </row>
        <row r="13">
          <cell r="A13" t="str">
            <v>85500-001</v>
          </cell>
          <cell r="C13" t="str">
            <v>STEEL PLATE</v>
          </cell>
          <cell r="D13" t="str">
            <v>C S</v>
          </cell>
          <cell r="E13" t="str">
            <v>PL150x150x9</v>
          </cell>
          <cell r="G13" t="str">
            <v>71730-150</v>
          </cell>
          <cell r="H13">
            <v>3</v>
          </cell>
          <cell r="I13" t="str">
            <v>5900/2200</v>
          </cell>
        </row>
        <row r="15">
          <cell r="A15" t="str">
            <v>85500-001</v>
          </cell>
          <cell r="C15" t="str">
            <v>CHANNEL</v>
          </cell>
          <cell r="D15" t="str">
            <v>C S</v>
          </cell>
          <cell r="E15" t="str">
            <v>ㄷ100x50x5</v>
          </cell>
          <cell r="F15">
            <v>2150</v>
          </cell>
          <cell r="G15" t="str">
            <v>71730-150</v>
          </cell>
          <cell r="H15">
            <v>5</v>
          </cell>
          <cell r="I15" t="str">
            <v>3150/2200</v>
          </cell>
        </row>
        <row r="16">
          <cell r="A16" t="str">
            <v>85500-001</v>
          </cell>
          <cell r="C16" t="str">
            <v>U-BOLT</v>
          </cell>
          <cell r="D16" t="str">
            <v>C S</v>
          </cell>
          <cell r="E16" t="str">
            <v>DN150</v>
          </cell>
          <cell r="G16" t="str">
            <v>71730-150</v>
          </cell>
          <cell r="H16">
            <v>10</v>
          </cell>
          <cell r="I16" t="str">
            <v>3150/2200</v>
          </cell>
        </row>
        <row r="17">
          <cell r="A17" t="str">
            <v>85500-001</v>
          </cell>
          <cell r="C17" t="str">
            <v>ANCHOR BOLT</v>
          </cell>
          <cell r="D17" t="str">
            <v>C S</v>
          </cell>
          <cell r="E17" t="str">
            <v>M10x80L</v>
          </cell>
          <cell r="G17" t="str">
            <v>71730-150</v>
          </cell>
          <cell r="H17">
            <v>40</v>
          </cell>
          <cell r="I17" t="str">
            <v>3150/2200</v>
          </cell>
        </row>
        <row r="18">
          <cell r="A18" t="str">
            <v>85500-001</v>
          </cell>
          <cell r="C18" t="str">
            <v>STEEL PLATE</v>
          </cell>
          <cell r="D18" t="str">
            <v>C S</v>
          </cell>
          <cell r="E18" t="str">
            <v>PL150x150x9</v>
          </cell>
          <cell r="G18" t="str">
            <v>71730-150</v>
          </cell>
          <cell r="H18">
            <v>10</v>
          </cell>
          <cell r="I18" t="str">
            <v>3150/2200</v>
          </cell>
        </row>
        <row r="20">
          <cell r="A20" t="str">
            <v>85500-001</v>
          </cell>
          <cell r="C20" t="str">
            <v>CHANNEL</v>
          </cell>
          <cell r="D20" t="str">
            <v>C S</v>
          </cell>
          <cell r="E20" t="str">
            <v>ㄷ100x50x5</v>
          </cell>
          <cell r="F20">
            <v>1900</v>
          </cell>
          <cell r="G20" t="str">
            <v>71730-150</v>
          </cell>
          <cell r="H20">
            <v>3</v>
          </cell>
          <cell r="I20" t="str">
            <v>3150/2200</v>
          </cell>
        </row>
        <row r="21">
          <cell r="A21" t="str">
            <v>85500-001</v>
          </cell>
          <cell r="C21" t="str">
            <v>U-BOLT</v>
          </cell>
          <cell r="D21" t="str">
            <v>C S</v>
          </cell>
          <cell r="E21" t="str">
            <v>DN150</v>
          </cell>
          <cell r="G21" t="str">
            <v>71730-150</v>
          </cell>
          <cell r="H21">
            <v>6</v>
          </cell>
          <cell r="I21" t="str">
            <v>3150/2200</v>
          </cell>
        </row>
        <row r="22">
          <cell r="A22" t="str">
            <v>85500-001</v>
          </cell>
          <cell r="C22" t="str">
            <v>ANCHOR BOLT</v>
          </cell>
          <cell r="D22" t="str">
            <v>C S</v>
          </cell>
          <cell r="E22" t="str">
            <v>M10x80L</v>
          </cell>
          <cell r="G22" t="str">
            <v>71730-150</v>
          </cell>
          <cell r="H22">
            <v>12</v>
          </cell>
          <cell r="I22" t="str">
            <v>3150/2200</v>
          </cell>
        </row>
        <row r="23">
          <cell r="A23" t="str">
            <v>85500-001</v>
          </cell>
          <cell r="C23" t="str">
            <v>STEEL PLATE</v>
          </cell>
          <cell r="D23" t="str">
            <v>C S</v>
          </cell>
          <cell r="E23" t="str">
            <v>PL150x150x9</v>
          </cell>
          <cell r="G23" t="str">
            <v>71730-150</v>
          </cell>
          <cell r="H23">
            <v>3</v>
          </cell>
          <cell r="I23" t="str">
            <v>3150/2200</v>
          </cell>
        </row>
      </sheetData>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현장설계분"/>
      <sheetName val="본사설계분"/>
      <sheetName val="가설배관"/>
      <sheetName val="본사S"/>
      <sheetName val="현장S"/>
      <sheetName val="C1"/>
      <sheetName val="C2"/>
      <sheetName val="공계"/>
      <sheetName val="C3"/>
      <sheetName val="공설"/>
      <sheetName val="C4"/>
      <sheetName val="C5"/>
      <sheetName val="도면"/>
      <sheetName val="C6"/>
      <sheetName val="공정표"/>
      <sheetName val="C7"/>
      <sheetName val="예"/>
      <sheetName val="C8"/>
      <sheetName val="명"/>
      <sheetName val="C9"/>
      <sheetName val="내1가"/>
      <sheetName val="내1다"/>
      <sheetName val="설내"/>
      <sheetName val="소내"/>
      <sheetName val="내2"/>
      <sheetName val="C10"/>
      <sheetName val="품1"/>
      <sheetName val="품2"/>
      <sheetName val="품3"/>
      <sheetName val="설품"/>
      <sheetName val="소품"/>
      <sheetName val="C11"/>
      <sheetName val="산1"/>
      <sheetName val="산2.가.1"/>
      <sheetName val="산2.가.2"/>
      <sheetName val="산2.나"/>
      <sheetName val="설산1.가"/>
      <sheetName val="설산1.나"/>
      <sheetName val="설산2"/>
      <sheetName val="소산1.가"/>
      <sheetName val="소산1.나"/>
      <sheetName val="소산2"/>
      <sheetName val="산3"/>
      <sheetName val="산4"/>
      <sheetName val="산5"/>
      <sheetName val="산6"/>
      <sheetName val="산7"/>
      <sheetName val="산8"/>
      <sheetName val="산9"/>
      <sheetName val="산10"/>
      <sheetName val="산11"/>
      <sheetName val="C12"/>
      <sheetName val="산2_가_1"/>
      <sheetName val="산2_가_2"/>
      <sheetName val="산2_나"/>
      <sheetName val="설산1_가"/>
      <sheetName val="설산1_나"/>
      <sheetName val="소산1_가"/>
      <sheetName val="소산1_나"/>
      <sheetName val="현장지지물물량"/>
    </sheetNames>
    <sheetDataSet>
      <sheetData sheetId="0" refreshError="1"/>
      <sheetData sheetId="1" refreshError="1"/>
      <sheetData sheetId="2" refreshError="1"/>
      <sheetData sheetId="3" refreshError="1">
        <row r="10">
          <cell r="B10" t="str">
            <v>03980-028</v>
          </cell>
          <cell r="C10" t="str">
            <v>U-BOLT</v>
          </cell>
          <cell r="D10" t="str">
            <v>C S</v>
          </cell>
          <cell r="E10" t="str">
            <v>DN150</v>
          </cell>
          <cell r="G10" t="str">
            <v>16100-150</v>
          </cell>
          <cell r="H10">
            <v>4</v>
          </cell>
          <cell r="K10">
            <v>0.75800000000000001</v>
          </cell>
          <cell r="L10">
            <v>3.032</v>
          </cell>
          <cell r="M10">
            <v>760</v>
          </cell>
          <cell r="N10">
            <v>3040</v>
          </cell>
          <cell r="O10" t="str">
            <v>물정 '98.11.p78</v>
          </cell>
        </row>
        <row r="11">
          <cell r="B11" t="str">
            <v>03980-042</v>
          </cell>
          <cell r="C11" t="str">
            <v>STUD BOLT</v>
          </cell>
          <cell r="D11" t="str">
            <v>C S</v>
          </cell>
          <cell r="E11" t="str">
            <v>M15x60L</v>
          </cell>
          <cell r="G11" t="str">
            <v>16100-150</v>
          </cell>
          <cell r="H11">
            <v>24</v>
          </cell>
          <cell r="K11">
            <v>0.2</v>
          </cell>
          <cell r="L11">
            <v>4.8</v>
          </cell>
          <cell r="M11">
            <v>137</v>
          </cell>
          <cell r="N11">
            <v>3288</v>
          </cell>
          <cell r="O11" t="str">
            <v>물정 '98.11 p.74</v>
          </cell>
        </row>
        <row r="12">
          <cell r="B12" t="str">
            <v>03980-043</v>
          </cell>
          <cell r="C12" t="str">
            <v>PLATE</v>
          </cell>
          <cell r="D12" t="str">
            <v>C S</v>
          </cell>
          <cell r="E12" t="str">
            <v>PL200x38x12t</v>
          </cell>
          <cell r="G12" t="str">
            <v>16100-150</v>
          </cell>
          <cell r="H12">
            <v>4</v>
          </cell>
          <cell r="K12">
            <v>0.71599999999999997</v>
          </cell>
          <cell r="L12">
            <v>2.8639999999999999</v>
          </cell>
          <cell r="M12">
            <v>289</v>
          </cell>
          <cell r="N12">
            <v>1156</v>
          </cell>
          <cell r="O12" t="str">
            <v>물정 '98.11 p.50</v>
          </cell>
        </row>
        <row r="13">
          <cell r="B13" t="str">
            <v>03980-035</v>
          </cell>
          <cell r="C13" t="str">
            <v>PLATE</v>
          </cell>
          <cell r="D13" t="str">
            <v>C S</v>
          </cell>
          <cell r="E13" t="str">
            <v>PL200x200x12t</v>
          </cell>
          <cell r="G13" t="str">
            <v>16100-150</v>
          </cell>
          <cell r="H13">
            <v>7</v>
          </cell>
          <cell r="K13">
            <v>3.7679999999999998</v>
          </cell>
          <cell r="L13">
            <v>26.376000000000001</v>
          </cell>
          <cell r="M13">
            <v>1526</v>
          </cell>
          <cell r="N13">
            <v>10682</v>
          </cell>
          <cell r="O13" t="str">
            <v>물정 '98.11 p.50</v>
          </cell>
        </row>
        <row r="14">
          <cell r="B14" t="str">
            <v>03980-042</v>
          </cell>
          <cell r="C14" t="str">
            <v>PLATE</v>
          </cell>
          <cell r="D14" t="str">
            <v>C S</v>
          </cell>
          <cell r="E14" t="str">
            <v>PL150x150x9t</v>
          </cell>
          <cell r="G14" t="str">
            <v>16100-150</v>
          </cell>
          <cell r="H14">
            <v>2</v>
          </cell>
          <cell r="K14">
            <v>1.59</v>
          </cell>
          <cell r="L14">
            <v>3.18</v>
          </cell>
          <cell r="M14">
            <v>659</v>
          </cell>
          <cell r="N14">
            <v>1318</v>
          </cell>
          <cell r="O14" t="str">
            <v>물정 '98.11 p.50</v>
          </cell>
        </row>
        <row r="15">
          <cell r="B15" t="str">
            <v>03980-042</v>
          </cell>
          <cell r="C15" t="str">
            <v>PIPE STD WT</v>
          </cell>
          <cell r="D15" t="str">
            <v>C S</v>
          </cell>
          <cell r="E15" t="str">
            <v>DN100</v>
          </cell>
          <cell r="F15">
            <v>143</v>
          </cell>
          <cell r="G15" t="str">
            <v>16100-150</v>
          </cell>
          <cell r="H15">
            <v>2</v>
          </cell>
          <cell r="K15">
            <v>2.2999999999999998</v>
          </cell>
          <cell r="L15">
            <v>4.5999999999999996</v>
          </cell>
          <cell r="M15">
            <v>1301.443</v>
          </cell>
          <cell r="N15">
            <v>2602</v>
          </cell>
          <cell r="O15" t="str">
            <v>물자 '98.11 p.476</v>
          </cell>
        </row>
        <row r="16">
          <cell r="B16" t="str">
            <v>03980-028</v>
          </cell>
          <cell r="C16" t="str">
            <v>H-BEAM</v>
          </cell>
          <cell r="D16" t="str">
            <v>C S</v>
          </cell>
          <cell r="E16" t="str">
            <v>H100x100x6x8</v>
          </cell>
          <cell r="F16">
            <v>1385</v>
          </cell>
          <cell r="G16" t="str">
            <v>16100-150</v>
          </cell>
          <cell r="H16">
            <v>1</v>
          </cell>
          <cell r="K16">
            <v>23.821999999999999</v>
          </cell>
          <cell r="L16">
            <v>23.821999999999999</v>
          </cell>
          <cell r="M16">
            <v>11553</v>
          </cell>
          <cell r="N16">
            <v>11553</v>
          </cell>
          <cell r="O16" t="str">
            <v>물정 '98.11 p.47</v>
          </cell>
        </row>
        <row r="17">
          <cell r="B17" t="str">
            <v>03980-029</v>
          </cell>
          <cell r="C17" t="str">
            <v>H-BEAM</v>
          </cell>
          <cell r="D17" t="str">
            <v>C S</v>
          </cell>
          <cell r="E17" t="str">
            <v>H100x100x6x8</v>
          </cell>
          <cell r="F17">
            <v>1780</v>
          </cell>
          <cell r="G17" t="str">
            <v>16100-150</v>
          </cell>
          <cell r="H17">
            <v>1</v>
          </cell>
          <cell r="K17">
            <v>30.616</v>
          </cell>
          <cell r="L17">
            <v>30.616</v>
          </cell>
          <cell r="M17">
            <v>14848</v>
          </cell>
          <cell r="N17">
            <v>14848</v>
          </cell>
          <cell r="O17" t="str">
            <v>물정 '98.11 p.47</v>
          </cell>
        </row>
        <row r="18">
          <cell r="B18" t="str">
            <v>03980-035</v>
          </cell>
          <cell r="C18" t="str">
            <v>H-BEAM</v>
          </cell>
          <cell r="D18" t="str">
            <v>C S</v>
          </cell>
          <cell r="E18" t="str">
            <v>H100x100x6x8</v>
          </cell>
          <cell r="F18">
            <v>462</v>
          </cell>
          <cell r="G18" t="str">
            <v>16100-150</v>
          </cell>
          <cell r="H18">
            <v>1</v>
          </cell>
          <cell r="K18">
            <v>7.9470000000000001</v>
          </cell>
          <cell r="L18">
            <v>7.9470000000000001</v>
          </cell>
          <cell r="M18">
            <v>3854</v>
          </cell>
          <cell r="N18">
            <v>3854</v>
          </cell>
          <cell r="O18" t="str">
            <v>물정 '98.11 p.47</v>
          </cell>
        </row>
        <row r="19">
          <cell r="B19" t="str">
            <v>03980-028</v>
          </cell>
          <cell r="C19" t="str">
            <v>CLIP ANGLE</v>
          </cell>
          <cell r="D19" t="str">
            <v>C S</v>
          </cell>
          <cell r="E19" t="str">
            <v>L75x75x9</v>
          </cell>
          <cell r="F19">
            <v>50</v>
          </cell>
          <cell r="G19" t="str">
            <v>16100-150</v>
          </cell>
          <cell r="H19">
            <v>4</v>
          </cell>
          <cell r="K19">
            <v>0.498</v>
          </cell>
          <cell r="L19">
            <v>1.992</v>
          </cell>
          <cell r="M19">
            <v>196</v>
          </cell>
          <cell r="N19">
            <v>784</v>
          </cell>
          <cell r="O19" t="str">
            <v>물정 '98.11 p.45</v>
          </cell>
        </row>
        <row r="20">
          <cell r="B20" t="str">
            <v>03980-042</v>
          </cell>
          <cell r="C20" t="str">
            <v>CHANNEL</v>
          </cell>
          <cell r="D20" t="str">
            <v>C S</v>
          </cell>
          <cell r="E20" t="str">
            <v>C100x50x5x7.5</v>
          </cell>
          <cell r="F20">
            <v>628</v>
          </cell>
          <cell r="G20" t="str">
            <v>16100-150</v>
          </cell>
          <cell r="H20">
            <v>6</v>
          </cell>
          <cell r="K20">
            <v>5.8780000000000001</v>
          </cell>
          <cell r="L20">
            <v>35.268000000000001</v>
          </cell>
          <cell r="M20">
            <v>2468</v>
          </cell>
          <cell r="N20">
            <v>14808</v>
          </cell>
          <cell r="O20" t="str">
            <v>물정 '98.11 p.46</v>
          </cell>
        </row>
        <row r="21">
          <cell r="B21" t="str">
            <v>03980-042</v>
          </cell>
          <cell r="C21" t="str">
            <v>CHANNEL</v>
          </cell>
          <cell r="D21" t="str">
            <v>C S</v>
          </cell>
          <cell r="E21" t="str">
            <v>C100x50x5x7.5</v>
          </cell>
          <cell r="F21">
            <v>250</v>
          </cell>
          <cell r="G21" t="str">
            <v>16100-150</v>
          </cell>
          <cell r="H21">
            <v>6</v>
          </cell>
          <cell r="K21">
            <v>2.34</v>
          </cell>
          <cell r="L21">
            <v>14.04</v>
          </cell>
          <cell r="M21">
            <v>982</v>
          </cell>
          <cell r="N21">
            <v>5892</v>
          </cell>
          <cell r="O21" t="str">
            <v>물정 '98.11 p.46</v>
          </cell>
        </row>
        <row r="22">
          <cell r="B22" t="str">
            <v>03980-035</v>
          </cell>
          <cell r="C22" t="str">
            <v>ANGLE</v>
          </cell>
          <cell r="D22" t="str">
            <v>C S</v>
          </cell>
          <cell r="E22" t="str">
            <v>L75x75x9</v>
          </cell>
          <cell r="F22">
            <v>330</v>
          </cell>
          <cell r="G22" t="str">
            <v>16100-150</v>
          </cell>
          <cell r="H22">
            <v>1</v>
          </cell>
          <cell r="K22">
            <v>3.2869999999999999</v>
          </cell>
          <cell r="L22">
            <v>3.2869999999999999</v>
          </cell>
          <cell r="M22">
            <v>1295</v>
          </cell>
          <cell r="N22">
            <v>1295</v>
          </cell>
          <cell r="O22" t="str">
            <v>물정 '98.11 p.45</v>
          </cell>
        </row>
        <row r="23">
          <cell r="B23" t="str">
            <v>03980-044</v>
          </cell>
          <cell r="C23" t="str">
            <v>ANGLE</v>
          </cell>
          <cell r="D23" t="str">
            <v>C S</v>
          </cell>
          <cell r="E23" t="str">
            <v>L100x100x10</v>
          </cell>
          <cell r="F23">
            <v>280</v>
          </cell>
          <cell r="G23" t="str">
            <v>16100-150</v>
          </cell>
          <cell r="H23">
            <v>3</v>
          </cell>
          <cell r="K23">
            <v>4.1719999999999997</v>
          </cell>
          <cell r="L23">
            <v>12.516</v>
          </cell>
          <cell r="M23">
            <v>1756</v>
          </cell>
          <cell r="N23">
            <v>5268</v>
          </cell>
          <cell r="O23" t="str">
            <v>물정 '98.11 p.45</v>
          </cell>
        </row>
        <row r="24">
          <cell r="B24" t="str">
            <v>03980-044</v>
          </cell>
          <cell r="C24" t="str">
            <v>ANGLE</v>
          </cell>
          <cell r="D24" t="str">
            <v>C S</v>
          </cell>
          <cell r="E24" t="str">
            <v>L100x100x10</v>
          </cell>
          <cell r="F24">
            <v>250</v>
          </cell>
          <cell r="G24" t="str">
            <v>16100-150</v>
          </cell>
          <cell r="H24">
            <v>2</v>
          </cell>
          <cell r="K24">
            <v>3.7250000000000001</v>
          </cell>
          <cell r="L24">
            <v>7.45</v>
          </cell>
          <cell r="M24">
            <v>1568</v>
          </cell>
          <cell r="N24">
            <v>3136</v>
          </cell>
          <cell r="O24" t="str">
            <v>물정 '98.11 p.45</v>
          </cell>
        </row>
        <row r="25">
          <cell r="B25" t="str">
            <v>03980-045</v>
          </cell>
          <cell r="C25" t="str">
            <v>ANGLE</v>
          </cell>
          <cell r="D25" t="str">
            <v>C S</v>
          </cell>
          <cell r="E25" t="str">
            <v>L100x100x10</v>
          </cell>
          <cell r="F25">
            <v>535</v>
          </cell>
          <cell r="G25" t="str">
            <v>16100-150</v>
          </cell>
          <cell r="H25">
            <v>1</v>
          </cell>
          <cell r="K25">
            <v>7.9720000000000004</v>
          </cell>
          <cell r="L25">
            <v>7.9720000000000004</v>
          </cell>
          <cell r="M25">
            <v>3356</v>
          </cell>
          <cell r="N25">
            <v>3356</v>
          </cell>
          <cell r="O25" t="str">
            <v>물정 '98.11 p.45</v>
          </cell>
        </row>
        <row r="26">
          <cell r="B26" t="str">
            <v>03980-035</v>
          </cell>
          <cell r="C26" t="str">
            <v>ANCHOR BOLT</v>
          </cell>
          <cell r="D26" t="str">
            <v>C S</v>
          </cell>
          <cell r="E26" t="str">
            <v>M16x177L</v>
          </cell>
          <cell r="G26" t="str">
            <v>16100-150</v>
          </cell>
          <cell r="H26">
            <v>4</v>
          </cell>
          <cell r="K26">
            <v>0.34699999999999998</v>
          </cell>
          <cell r="L26">
            <v>1.3879999999999999</v>
          </cell>
          <cell r="M26">
            <v>1660</v>
          </cell>
          <cell r="N26">
            <v>6640</v>
          </cell>
          <cell r="O26" t="str">
            <v>견적가</v>
          </cell>
        </row>
        <row r="27">
          <cell r="B27" t="str">
            <v>03980-028</v>
          </cell>
          <cell r="C27" t="str">
            <v>U-BOLT</v>
          </cell>
          <cell r="D27" t="str">
            <v>C S</v>
          </cell>
          <cell r="E27" t="str">
            <v>DN100</v>
          </cell>
          <cell r="G27" t="str">
            <v>16100-100</v>
          </cell>
          <cell r="H27">
            <v>4</v>
          </cell>
          <cell r="K27">
            <v>0.54900000000000004</v>
          </cell>
          <cell r="L27">
            <v>2.1960000000000002</v>
          </cell>
          <cell r="M27">
            <v>510</v>
          </cell>
          <cell r="N27">
            <v>2040</v>
          </cell>
          <cell r="O27" t="str">
            <v>물정 '98.11.p78</v>
          </cell>
        </row>
        <row r="28">
          <cell r="B28" t="str">
            <v>03980-040</v>
          </cell>
          <cell r="C28" t="str">
            <v>STUD BOLT</v>
          </cell>
          <cell r="D28" t="str">
            <v>C S</v>
          </cell>
          <cell r="E28" t="str">
            <v>M15x60L</v>
          </cell>
          <cell r="G28" t="str">
            <v>16100-100</v>
          </cell>
          <cell r="H28">
            <v>12</v>
          </cell>
          <cell r="K28">
            <v>0.2</v>
          </cell>
          <cell r="L28">
            <v>2.4</v>
          </cell>
          <cell r="M28">
            <v>137</v>
          </cell>
          <cell r="N28">
            <v>1644</v>
          </cell>
          <cell r="O28" t="str">
            <v>물정 '98.11 p.74</v>
          </cell>
        </row>
        <row r="29">
          <cell r="B29" t="str">
            <v>03980-040</v>
          </cell>
          <cell r="C29" t="str">
            <v>PLATE</v>
          </cell>
          <cell r="D29" t="str">
            <v>C S</v>
          </cell>
          <cell r="E29" t="str">
            <v>PL200x200x12t</v>
          </cell>
          <cell r="G29" t="str">
            <v>16100-100</v>
          </cell>
          <cell r="H29">
            <v>3</v>
          </cell>
          <cell r="K29">
            <v>3.7679999999999998</v>
          </cell>
          <cell r="L29">
            <v>11.304</v>
          </cell>
          <cell r="M29">
            <v>1526</v>
          </cell>
          <cell r="N29">
            <v>4578</v>
          </cell>
          <cell r="O29" t="str">
            <v>물정 '98.11 p.50</v>
          </cell>
        </row>
        <row r="30">
          <cell r="B30" t="str">
            <v>03980-040</v>
          </cell>
          <cell r="C30" t="str">
            <v>PLATE</v>
          </cell>
          <cell r="D30" t="str">
            <v>C S</v>
          </cell>
          <cell r="E30" t="str">
            <v>PL180x150x12t</v>
          </cell>
          <cell r="G30" t="str">
            <v>16100-100</v>
          </cell>
          <cell r="H30">
            <v>3</v>
          </cell>
          <cell r="K30">
            <v>2.5430000000000001</v>
          </cell>
          <cell r="L30">
            <v>7.6289999999999996</v>
          </cell>
          <cell r="M30">
            <v>1029</v>
          </cell>
          <cell r="N30">
            <v>3087</v>
          </cell>
          <cell r="O30" t="str">
            <v>물정 '98.11 p.50</v>
          </cell>
        </row>
        <row r="31">
          <cell r="B31" t="str">
            <v>03980-040</v>
          </cell>
          <cell r="C31" t="str">
            <v>LUG PLATE</v>
          </cell>
          <cell r="D31" t="str">
            <v>S S</v>
          </cell>
          <cell r="E31" t="str">
            <v>PL100x50x12t</v>
          </cell>
          <cell r="G31" t="str">
            <v>16100-100</v>
          </cell>
          <cell r="H31">
            <v>2</v>
          </cell>
          <cell r="K31">
            <v>0.47099999999999997</v>
          </cell>
          <cell r="L31">
            <v>0.94199999999999995</v>
          </cell>
          <cell r="M31">
            <v>190</v>
          </cell>
          <cell r="N31">
            <v>380</v>
          </cell>
          <cell r="O31" t="str">
            <v>물정 '98.11 p.50</v>
          </cell>
        </row>
        <row r="32">
          <cell r="B32" t="str">
            <v>03980-027</v>
          </cell>
          <cell r="C32" t="str">
            <v>H-BEAM</v>
          </cell>
          <cell r="D32" t="str">
            <v>C S</v>
          </cell>
          <cell r="E32" t="str">
            <v>H100x100x6x8</v>
          </cell>
          <cell r="F32">
            <v>1385</v>
          </cell>
          <cell r="G32" t="str">
            <v>16100-100</v>
          </cell>
          <cell r="H32">
            <v>1</v>
          </cell>
          <cell r="K32">
            <v>23.821999999999999</v>
          </cell>
          <cell r="L32">
            <v>23.821999999999999</v>
          </cell>
          <cell r="M32">
            <v>11553</v>
          </cell>
          <cell r="N32">
            <v>11553</v>
          </cell>
          <cell r="O32" t="str">
            <v>물정 '98.11 p.47</v>
          </cell>
        </row>
        <row r="33">
          <cell r="B33" t="str">
            <v>03980-027</v>
          </cell>
          <cell r="C33" t="str">
            <v>CLIP ANGLE</v>
          </cell>
          <cell r="D33" t="str">
            <v>C S</v>
          </cell>
          <cell r="E33" t="str">
            <v>L75x75x9</v>
          </cell>
          <cell r="F33">
            <v>50</v>
          </cell>
          <cell r="G33" t="str">
            <v>16100-100</v>
          </cell>
          <cell r="H33">
            <v>2</v>
          </cell>
          <cell r="K33">
            <v>0.498</v>
          </cell>
          <cell r="L33">
            <v>0.996</v>
          </cell>
          <cell r="M33">
            <v>196</v>
          </cell>
          <cell r="N33">
            <v>392</v>
          </cell>
          <cell r="O33" t="str">
            <v>물정 '98.11 p.45</v>
          </cell>
        </row>
        <row r="34">
          <cell r="B34" t="str">
            <v>03980-040</v>
          </cell>
          <cell r="C34" t="str">
            <v>ANGLE</v>
          </cell>
          <cell r="D34" t="str">
            <v>C S</v>
          </cell>
          <cell r="E34" t="str">
            <v>L75x75x9</v>
          </cell>
          <cell r="F34">
            <v>252</v>
          </cell>
          <cell r="G34" t="str">
            <v>16100-100</v>
          </cell>
          <cell r="H34">
            <v>3</v>
          </cell>
          <cell r="K34">
            <v>2.5099999999999998</v>
          </cell>
          <cell r="L34">
            <v>7.53</v>
          </cell>
          <cell r="M34">
            <v>988</v>
          </cell>
          <cell r="N34">
            <v>2964</v>
          </cell>
          <cell r="O34" t="str">
            <v>물정 '98.11 p.45</v>
          </cell>
        </row>
        <row r="36">
          <cell r="B36" t="str">
            <v>03980-024</v>
          </cell>
          <cell r="C36" t="str">
            <v>U-BOLT</v>
          </cell>
          <cell r="D36" t="str">
            <v>C S</v>
          </cell>
          <cell r="E36" t="str">
            <v>DN150</v>
          </cell>
          <cell r="G36" t="str">
            <v>16200-150</v>
          </cell>
          <cell r="H36">
            <v>13</v>
          </cell>
          <cell r="K36">
            <v>0.75800000000000001</v>
          </cell>
          <cell r="L36">
            <v>9.8539999999999992</v>
          </cell>
          <cell r="M36">
            <v>2200</v>
          </cell>
          <cell r="N36">
            <v>28600</v>
          </cell>
          <cell r="O36" t="str">
            <v>물정 '98.11.p78</v>
          </cell>
        </row>
        <row r="37">
          <cell r="B37" t="str">
            <v>03980-024</v>
          </cell>
          <cell r="C37" t="str">
            <v>H-BEAM</v>
          </cell>
          <cell r="D37" t="str">
            <v>C S</v>
          </cell>
          <cell r="E37" t="str">
            <v>H100x100x6x8</v>
          </cell>
          <cell r="F37">
            <v>1385</v>
          </cell>
          <cell r="G37" t="str">
            <v>16200-150</v>
          </cell>
          <cell r="H37">
            <v>27</v>
          </cell>
          <cell r="K37">
            <v>23.821999999999999</v>
          </cell>
          <cell r="L37">
            <v>643.19399999999996</v>
          </cell>
          <cell r="M37">
            <v>11553</v>
          </cell>
          <cell r="N37">
            <v>311931</v>
          </cell>
          <cell r="O37" t="str">
            <v>물정 '98.11 p.47</v>
          </cell>
        </row>
        <row r="38">
          <cell r="B38" t="str">
            <v>03980-024</v>
          </cell>
          <cell r="C38" t="str">
            <v>CLIP ANGLE</v>
          </cell>
          <cell r="D38" t="str">
            <v>C S</v>
          </cell>
          <cell r="E38" t="str">
            <v>L75x75x9</v>
          </cell>
          <cell r="F38">
            <v>50</v>
          </cell>
          <cell r="G38" t="str">
            <v>16200-150</v>
          </cell>
          <cell r="H38">
            <v>54</v>
          </cell>
          <cell r="K38">
            <v>0.498</v>
          </cell>
          <cell r="L38">
            <v>26.891999999999999</v>
          </cell>
          <cell r="M38">
            <v>196</v>
          </cell>
          <cell r="N38">
            <v>10584</v>
          </cell>
          <cell r="O38" t="str">
            <v>물정 '98.11 p.45</v>
          </cell>
        </row>
        <row r="39">
          <cell r="B39" t="str">
            <v>03980-046</v>
          </cell>
          <cell r="C39" t="str">
            <v>ANGLE</v>
          </cell>
          <cell r="D39" t="str">
            <v>C S</v>
          </cell>
          <cell r="E39" t="str">
            <v>L100x100x10</v>
          </cell>
          <cell r="F39">
            <v>700</v>
          </cell>
          <cell r="G39" t="str">
            <v>16200-150</v>
          </cell>
          <cell r="H39">
            <v>5</v>
          </cell>
          <cell r="K39">
            <v>10.43</v>
          </cell>
          <cell r="L39">
            <v>52.15</v>
          </cell>
          <cell r="M39">
            <v>4391</v>
          </cell>
          <cell r="N39">
            <v>21955</v>
          </cell>
          <cell r="O39" t="str">
            <v>물정 '98.11 p.45</v>
          </cell>
        </row>
        <row r="40">
          <cell r="B40" t="str">
            <v>03980-026</v>
          </cell>
          <cell r="C40" t="str">
            <v>U-BOLT</v>
          </cell>
          <cell r="D40" t="str">
            <v>C S</v>
          </cell>
          <cell r="E40" t="str">
            <v>DN100</v>
          </cell>
          <cell r="G40" t="str">
            <v>16200-100</v>
          </cell>
          <cell r="H40">
            <v>16</v>
          </cell>
          <cell r="K40">
            <v>0.54900000000000004</v>
          </cell>
          <cell r="L40">
            <v>8.7840000000000007</v>
          </cell>
          <cell r="M40">
            <v>900</v>
          </cell>
          <cell r="N40">
            <v>14400</v>
          </cell>
          <cell r="O40" t="str">
            <v>물정 '98.11.p78</v>
          </cell>
        </row>
        <row r="41">
          <cell r="B41" t="str">
            <v>03980-026</v>
          </cell>
          <cell r="C41" t="str">
            <v>H-BEAM</v>
          </cell>
          <cell r="D41" t="str">
            <v>C S</v>
          </cell>
          <cell r="E41" t="str">
            <v>H100x100x6x8</v>
          </cell>
          <cell r="F41">
            <v>1385</v>
          </cell>
          <cell r="G41" t="str">
            <v>16200-100</v>
          </cell>
          <cell r="H41">
            <v>3</v>
          </cell>
          <cell r="K41">
            <v>23.821999999999999</v>
          </cell>
          <cell r="L41">
            <v>71.465999999999994</v>
          </cell>
          <cell r="M41">
            <v>11553</v>
          </cell>
          <cell r="N41">
            <v>34659</v>
          </cell>
          <cell r="O41" t="str">
            <v>물정 '98.11 p.47</v>
          </cell>
        </row>
        <row r="42">
          <cell r="B42" t="str">
            <v>03980-026</v>
          </cell>
          <cell r="C42" t="str">
            <v>CLIP ANGLE</v>
          </cell>
          <cell r="D42" t="str">
            <v>C S</v>
          </cell>
          <cell r="E42" t="str">
            <v>L75x75x9</v>
          </cell>
          <cell r="F42">
            <v>50</v>
          </cell>
          <cell r="G42" t="str">
            <v>16200-100</v>
          </cell>
          <cell r="H42">
            <v>6</v>
          </cell>
          <cell r="K42">
            <v>0.498</v>
          </cell>
          <cell r="L42">
            <v>2.988</v>
          </cell>
          <cell r="M42">
            <v>196</v>
          </cell>
          <cell r="N42">
            <v>1176</v>
          </cell>
          <cell r="O42" t="str">
            <v>물정 '98.11 p.45</v>
          </cell>
        </row>
        <row r="43">
          <cell r="B43" t="str">
            <v>03980-031</v>
          </cell>
          <cell r="C43" t="str">
            <v>H-BEAM</v>
          </cell>
          <cell r="D43" t="str">
            <v>C S</v>
          </cell>
          <cell r="E43" t="str">
            <v>H100x100x6x8</v>
          </cell>
          <cell r="F43">
            <v>700</v>
          </cell>
          <cell r="G43" t="str">
            <v>16200-100</v>
          </cell>
          <cell r="H43">
            <v>1</v>
          </cell>
          <cell r="K43">
            <v>12.04</v>
          </cell>
          <cell r="L43">
            <v>12.04</v>
          </cell>
          <cell r="M43">
            <v>5839</v>
          </cell>
          <cell r="N43">
            <v>5839</v>
          </cell>
          <cell r="O43" t="str">
            <v>물정 '98.11 p.47</v>
          </cell>
        </row>
        <row r="44">
          <cell r="B44" t="str">
            <v>03980-051</v>
          </cell>
          <cell r="C44" t="str">
            <v>ANGLE</v>
          </cell>
          <cell r="D44" t="str">
            <v>C S</v>
          </cell>
          <cell r="E44" t="str">
            <v>L75x75x9</v>
          </cell>
          <cell r="F44">
            <v>160</v>
          </cell>
          <cell r="G44" t="str">
            <v>16200-100</v>
          </cell>
          <cell r="H44">
            <v>3</v>
          </cell>
          <cell r="K44">
            <v>1.5940000000000001</v>
          </cell>
          <cell r="L44">
            <v>4.782</v>
          </cell>
          <cell r="M44">
            <v>628</v>
          </cell>
          <cell r="N44">
            <v>1884</v>
          </cell>
          <cell r="O44" t="str">
            <v>물정 '98.11 p.45</v>
          </cell>
        </row>
        <row r="45">
          <cell r="B45" t="str">
            <v>03980-052</v>
          </cell>
          <cell r="C45" t="str">
            <v>ANGLE</v>
          </cell>
          <cell r="D45" t="str">
            <v>C S</v>
          </cell>
          <cell r="E45" t="str">
            <v>L75x75x9</v>
          </cell>
          <cell r="F45">
            <v>460</v>
          </cell>
          <cell r="G45" t="str">
            <v>16200-100</v>
          </cell>
          <cell r="H45">
            <v>2</v>
          </cell>
          <cell r="K45">
            <v>4.5819999999999999</v>
          </cell>
          <cell r="L45">
            <v>9.1639999999999997</v>
          </cell>
          <cell r="M45">
            <v>1805</v>
          </cell>
          <cell r="N45">
            <v>3610</v>
          </cell>
          <cell r="O45" t="str">
            <v>물정 '98.11 p.45</v>
          </cell>
        </row>
        <row r="46">
          <cell r="B46" t="str">
            <v>03980-053</v>
          </cell>
          <cell r="C46" t="str">
            <v>STUD BOLT</v>
          </cell>
          <cell r="D46" t="str">
            <v>C S</v>
          </cell>
          <cell r="E46" t="str">
            <v>M15x60L</v>
          </cell>
          <cell r="G46" t="str">
            <v>16200-100</v>
          </cell>
          <cell r="H46">
            <v>16</v>
          </cell>
          <cell r="K46">
            <v>0.2</v>
          </cell>
          <cell r="L46">
            <v>3.2</v>
          </cell>
          <cell r="M46">
            <v>137</v>
          </cell>
          <cell r="N46">
            <v>2192</v>
          </cell>
          <cell r="O46" t="str">
            <v>물정 '98.11 p.74</v>
          </cell>
        </row>
        <row r="47">
          <cell r="B47" t="str">
            <v>03980-053</v>
          </cell>
          <cell r="C47" t="str">
            <v>PLATE</v>
          </cell>
          <cell r="D47" t="str">
            <v>C S</v>
          </cell>
          <cell r="E47" t="str">
            <v>PL200x200x12t</v>
          </cell>
          <cell r="G47" t="str">
            <v>16200-100</v>
          </cell>
          <cell r="H47">
            <v>4</v>
          </cell>
          <cell r="K47">
            <v>3.7679999999999998</v>
          </cell>
          <cell r="L47">
            <v>15.071999999999999</v>
          </cell>
          <cell r="M47">
            <v>1526</v>
          </cell>
          <cell r="N47">
            <v>6104</v>
          </cell>
          <cell r="O47" t="str">
            <v>물정 '98.11 p.50</v>
          </cell>
        </row>
        <row r="48">
          <cell r="B48" t="str">
            <v>03980-053</v>
          </cell>
          <cell r="C48" t="str">
            <v>PLATE</v>
          </cell>
          <cell r="D48" t="str">
            <v>C S</v>
          </cell>
          <cell r="E48" t="str">
            <v>PL200x150x12t</v>
          </cell>
          <cell r="G48" t="str">
            <v>16200-100</v>
          </cell>
          <cell r="H48">
            <v>4</v>
          </cell>
          <cell r="K48">
            <v>2.8260000000000001</v>
          </cell>
          <cell r="L48">
            <v>11.304</v>
          </cell>
          <cell r="M48">
            <v>1144</v>
          </cell>
          <cell r="N48">
            <v>4576</v>
          </cell>
          <cell r="O48" t="str">
            <v>물정 '98.11 p.50</v>
          </cell>
        </row>
        <row r="49">
          <cell r="B49" t="str">
            <v>03980-053</v>
          </cell>
          <cell r="C49" t="str">
            <v>LUG PLATE</v>
          </cell>
          <cell r="D49" t="str">
            <v>S S</v>
          </cell>
          <cell r="E49" t="str">
            <v>PL100x50x12t</v>
          </cell>
          <cell r="G49" t="str">
            <v>16200-100</v>
          </cell>
          <cell r="H49">
            <v>4</v>
          </cell>
          <cell r="K49">
            <v>0.47099999999999997</v>
          </cell>
          <cell r="L49">
            <v>1.8839999999999999</v>
          </cell>
          <cell r="M49">
            <v>190</v>
          </cell>
          <cell r="N49">
            <v>760</v>
          </cell>
          <cell r="O49" t="str">
            <v>물정 '98.11 p.50</v>
          </cell>
        </row>
        <row r="50">
          <cell r="B50" t="str">
            <v>03980-053</v>
          </cell>
          <cell r="C50" t="str">
            <v>ANGLE</v>
          </cell>
          <cell r="D50" t="str">
            <v>C S</v>
          </cell>
          <cell r="E50" t="str">
            <v>L75x75x9</v>
          </cell>
          <cell r="F50">
            <v>248</v>
          </cell>
          <cell r="G50" t="str">
            <v>16200-100</v>
          </cell>
          <cell r="H50">
            <v>4</v>
          </cell>
          <cell r="K50">
            <v>2.4710000000000001</v>
          </cell>
          <cell r="L50">
            <v>9.8840000000000003</v>
          </cell>
          <cell r="M50">
            <v>973</v>
          </cell>
          <cell r="N50">
            <v>3892</v>
          </cell>
          <cell r="O50" t="str">
            <v>물정 '98.11 p.45</v>
          </cell>
        </row>
        <row r="51">
          <cell r="B51" t="str">
            <v>03980-024</v>
          </cell>
          <cell r="C51" t="str">
            <v>U-BOLT</v>
          </cell>
          <cell r="D51" t="str">
            <v>C S</v>
          </cell>
          <cell r="E51" t="str">
            <v>DN 80</v>
          </cell>
          <cell r="G51" t="str">
            <v>16200- 80</v>
          </cell>
          <cell r="H51">
            <v>10</v>
          </cell>
          <cell r="K51">
            <v>0.25900000000000001</v>
          </cell>
          <cell r="L51">
            <v>2.59</v>
          </cell>
          <cell r="M51">
            <v>770</v>
          </cell>
          <cell r="N51">
            <v>7700</v>
          </cell>
          <cell r="O51" t="str">
            <v>물정 '98.11.p78</v>
          </cell>
        </row>
        <row r="52">
          <cell r="B52" t="str">
            <v>03980-033</v>
          </cell>
          <cell r="C52" t="str">
            <v>WEL'D BEAM ATTACH.</v>
          </cell>
          <cell r="D52" t="str">
            <v>C S</v>
          </cell>
          <cell r="E52" t="str">
            <v>M12</v>
          </cell>
          <cell r="G52" t="str">
            <v>16200- 80</v>
          </cell>
          <cell r="H52">
            <v>1</v>
          </cell>
          <cell r="K52">
            <v>0.59</v>
          </cell>
          <cell r="L52">
            <v>0.59</v>
          </cell>
          <cell r="M52">
            <v>4800</v>
          </cell>
          <cell r="N52">
            <v>4800</v>
          </cell>
          <cell r="O52" t="str">
            <v>견적가</v>
          </cell>
        </row>
        <row r="53">
          <cell r="B53" t="str">
            <v>03980-033</v>
          </cell>
          <cell r="C53" t="str">
            <v>THR'D ROD</v>
          </cell>
          <cell r="D53" t="str">
            <v>C S</v>
          </cell>
          <cell r="E53" t="str">
            <v>M12</v>
          </cell>
          <cell r="F53">
            <v>360</v>
          </cell>
          <cell r="G53" t="str">
            <v>16200- 80</v>
          </cell>
          <cell r="H53">
            <v>1</v>
          </cell>
          <cell r="K53">
            <v>0.28499999999999998</v>
          </cell>
          <cell r="L53">
            <v>0.28499999999999998</v>
          </cell>
          <cell r="M53">
            <v>3430</v>
          </cell>
          <cell r="N53">
            <v>3430</v>
          </cell>
          <cell r="O53" t="str">
            <v>견적가</v>
          </cell>
        </row>
        <row r="54">
          <cell r="B54" t="str">
            <v>03980-033</v>
          </cell>
          <cell r="C54" t="str">
            <v>PLATE</v>
          </cell>
          <cell r="D54" t="str">
            <v>C S</v>
          </cell>
          <cell r="E54" t="str">
            <v>PL200x200x12t</v>
          </cell>
          <cell r="G54" t="str">
            <v>16200- 80</v>
          </cell>
          <cell r="H54">
            <v>1</v>
          </cell>
          <cell r="K54">
            <v>3.7679999999999998</v>
          </cell>
          <cell r="L54">
            <v>3.7679999999999998</v>
          </cell>
          <cell r="M54">
            <v>1526</v>
          </cell>
          <cell r="N54">
            <v>1526</v>
          </cell>
          <cell r="O54" t="str">
            <v>물정 '98.11 p.50</v>
          </cell>
        </row>
        <row r="55">
          <cell r="B55" t="str">
            <v>03980-033</v>
          </cell>
          <cell r="C55" t="str">
            <v>EYE NUT</v>
          </cell>
          <cell r="D55" t="str">
            <v>C S</v>
          </cell>
          <cell r="E55" t="str">
            <v>M12</v>
          </cell>
          <cell r="G55" t="str">
            <v>16200- 80</v>
          </cell>
          <cell r="H55">
            <v>2</v>
          </cell>
          <cell r="K55">
            <v>0.28999999999999998</v>
          </cell>
          <cell r="L55">
            <v>0.57999999999999996</v>
          </cell>
          <cell r="M55">
            <v>1600</v>
          </cell>
          <cell r="N55">
            <v>3200</v>
          </cell>
          <cell r="O55" t="str">
            <v>견적가</v>
          </cell>
        </row>
        <row r="56">
          <cell r="B56" t="str">
            <v>03980-033</v>
          </cell>
          <cell r="C56" t="str">
            <v>CHANNEL</v>
          </cell>
          <cell r="D56" t="str">
            <v>C S</v>
          </cell>
          <cell r="E56" t="str">
            <v>C100x50x5x7.5</v>
          </cell>
          <cell r="F56">
            <v>500</v>
          </cell>
          <cell r="G56" t="str">
            <v>16200- 80</v>
          </cell>
          <cell r="H56">
            <v>1</v>
          </cell>
          <cell r="K56">
            <v>4.68</v>
          </cell>
          <cell r="L56">
            <v>4.68</v>
          </cell>
          <cell r="M56">
            <v>1965</v>
          </cell>
          <cell r="N56">
            <v>1965</v>
          </cell>
          <cell r="O56" t="str">
            <v>물정 '98.11 p.46</v>
          </cell>
        </row>
        <row r="57">
          <cell r="B57" t="str">
            <v>03980-033</v>
          </cell>
          <cell r="C57" t="str">
            <v>ANCHOR BOLT</v>
          </cell>
          <cell r="D57" t="str">
            <v>C S</v>
          </cell>
          <cell r="E57" t="str">
            <v>M12x155L</v>
          </cell>
          <cell r="G57" t="str">
            <v>16200- 80</v>
          </cell>
          <cell r="H57">
            <v>4</v>
          </cell>
          <cell r="K57">
            <v>0.124</v>
          </cell>
          <cell r="L57">
            <v>0.496</v>
          </cell>
          <cell r="M57">
            <v>1480</v>
          </cell>
          <cell r="N57">
            <v>5920</v>
          </cell>
          <cell r="O57" t="str">
            <v>견적가</v>
          </cell>
        </row>
        <row r="58">
          <cell r="B58" t="str">
            <v>03980-033</v>
          </cell>
          <cell r="C58" t="str">
            <v>3-BOLT PIPE CLAMP</v>
          </cell>
          <cell r="D58" t="str">
            <v>C S</v>
          </cell>
          <cell r="E58" t="str">
            <v>DN 80</v>
          </cell>
          <cell r="G58" t="str">
            <v>16200- 80</v>
          </cell>
          <cell r="H58">
            <v>1</v>
          </cell>
          <cell r="K58">
            <v>1.36</v>
          </cell>
          <cell r="L58">
            <v>1.36</v>
          </cell>
          <cell r="M58">
            <v>10000</v>
          </cell>
          <cell r="N58">
            <v>10000</v>
          </cell>
          <cell r="O58" t="str">
            <v>견적가</v>
          </cell>
        </row>
        <row r="60">
          <cell r="B60" t="str">
            <v>03980-026</v>
          </cell>
          <cell r="C60" t="str">
            <v>U-BOLT</v>
          </cell>
          <cell r="D60" t="str">
            <v>C S</v>
          </cell>
          <cell r="E60" t="str">
            <v>DN100</v>
          </cell>
          <cell r="G60" t="str">
            <v>16320-100</v>
          </cell>
          <cell r="H60">
            <v>3</v>
          </cell>
          <cell r="K60">
            <v>0.54900000000000004</v>
          </cell>
          <cell r="L60">
            <v>1.647</v>
          </cell>
          <cell r="M60">
            <v>510</v>
          </cell>
          <cell r="N60">
            <v>1530</v>
          </cell>
          <cell r="O60" t="str">
            <v>물정 '98.11.p78</v>
          </cell>
        </row>
        <row r="61">
          <cell r="B61" t="str">
            <v>03980-032</v>
          </cell>
          <cell r="C61" t="str">
            <v>PLATE</v>
          </cell>
          <cell r="D61" t="str">
            <v>C S</v>
          </cell>
          <cell r="E61" t="str">
            <v>PL200x200x12t</v>
          </cell>
          <cell r="G61" t="str">
            <v>16320-100</v>
          </cell>
          <cell r="H61">
            <v>2</v>
          </cell>
          <cell r="K61">
            <v>3.7679999999999998</v>
          </cell>
          <cell r="L61">
            <v>7.5359999999999996</v>
          </cell>
          <cell r="M61">
            <v>1526</v>
          </cell>
          <cell r="N61">
            <v>3052</v>
          </cell>
          <cell r="O61" t="str">
            <v>물정 '98.11 p.50</v>
          </cell>
        </row>
        <row r="62">
          <cell r="B62" t="str">
            <v>03980-025</v>
          </cell>
          <cell r="C62" t="str">
            <v>H-BEAM</v>
          </cell>
          <cell r="D62" t="str">
            <v>C S</v>
          </cell>
          <cell r="E62" t="str">
            <v>H100x100x6x8</v>
          </cell>
          <cell r="F62">
            <v>1385</v>
          </cell>
          <cell r="G62" t="str">
            <v>16320-100</v>
          </cell>
          <cell r="H62">
            <v>1</v>
          </cell>
          <cell r="K62">
            <v>23.821999999999999</v>
          </cell>
          <cell r="L62">
            <v>23.821999999999999</v>
          </cell>
          <cell r="M62">
            <v>11553</v>
          </cell>
          <cell r="N62">
            <v>11553</v>
          </cell>
          <cell r="O62" t="str">
            <v>물정 '98.11 p.47</v>
          </cell>
        </row>
        <row r="63">
          <cell r="B63" t="str">
            <v>03980-025</v>
          </cell>
          <cell r="C63" t="str">
            <v>CLIP ANGLE</v>
          </cell>
          <cell r="D63" t="str">
            <v>C S</v>
          </cell>
          <cell r="E63" t="str">
            <v>L75x75x9</v>
          </cell>
          <cell r="F63">
            <v>50</v>
          </cell>
          <cell r="G63" t="str">
            <v>16320-100</v>
          </cell>
          <cell r="H63">
            <v>2</v>
          </cell>
          <cell r="K63">
            <v>0.498</v>
          </cell>
          <cell r="L63">
            <v>0.996</v>
          </cell>
          <cell r="M63">
            <v>196</v>
          </cell>
          <cell r="N63">
            <v>392</v>
          </cell>
          <cell r="O63" t="str">
            <v>물정 '98.11 p.45</v>
          </cell>
        </row>
        <row r="64">
          <cell r="B64" t="str">
            <v>03980-032</v>
          </cell>
          <cell r="C64" t="str">
            <v>ANGLE</v>
          </cell>
          <cell r="D64" t="str">
            <v>C S</v>
          </cell>
          <cell r="E64" t="str">
            <v>L75x75x9</v>
          </cell>
          <cell r="F64">
            <v>527</v>
          </cell>
          <cell r="G64" t="str">
            <v>16320-100</v>
          </cell>
          <cell r="H64">
            <v>1</v>
          </cell>
          <cell r="K64">
            <v>5.2489999999999997</v>
          </cell>
          <cell r="L64">
            <v>5.2489999999999997</v>
          </cell>
          <cell r="M64">
            <v>2068</v>
          </cell>
          <cell r="N64">
            <v>2068</v>
          </cell>
          <cell r="O64" t="str">
            <v>물정 '98.11 p.45</v>
          </cell>
        </row>
        <row r="65">
          <cell r="B65" t="str">
            <v>03980-034</v>
          </cell>
          <cell r="C65" t="str">
            <v>ANGLE</v>
          </cell>
          <cell r="D65" t="str">
            <v>C S</v>
          </cell>
          <cell r="E65" t="str">
            <v>L75x75x9</v>
          </cell>
          <cell r="F65">
            <v>514</v>
          </cell>
          <cell r="G65" t="str">
            <v>16320-100</v>
          </cell>
          <cell r="H65">
            <v>1</v>
          </cell>
          <cell r="K65">
            <v>5.12</v>
          </cell>
          <cell r="L65">
            <v>5.12</v>
          </cell>
          <cell r="M65">
            <v>2017</v>
          </cell>
          <cell r="N65">
            <v>2017</v>
          </cell>
          <cell r="O65" t="str">
            <v>물정 '98.11 p.45</v>
          </cell>
        </row>
        <row r="66">
          <cell r="B66" t="str">
            <v>03980-032</v>
          </cell>
          <cell r="C66" t="str">
            <v>ANCHOR BOLT</v>
          </cell>
          <cell r="D66" t="str">
            <v>C S</v>
          </cell>
          <cell r="E66" t="str">
            <v>M12x155L</v>
          </cell>
          <cell r="G66" t="str">
            <v>16320-100</v>
          </cell>
          <cell r="H66">
            <v>8</v>
          </cell>
          <cell r="K66">
            <v>0.124</v>
          </cell>
          <cell r="L66">
            <v>0.99199999999999999</v>
          </cell>
          <cell r="M66">
            <v>1480</v>
          </cell>
          <cell r="N66">
            <v>11840</v>
          </cell>
          <cell r="O66" t="str">
            <v>견적가</v>
          </cell>
        </row>
        <row r="67">
          <cell r="B67" t="str">
            <v>03980-036</v>
          </cell>
          <cell r="C67" t="str">
            <v>WEL'D BEAM ATTACH.</v>
          </cell>
          <cell r="D67" t="str">
            <v>C S</v>
          </cell>
          <cell r="E67" t="str">
            <v>M12</v>
          </cell>
          <cell r="G67" t="str">
            <v>16320- 80</v>
          </cell>
          <cell r="H67">
            <v>1</v>
          </cell>
          <cell r="K67">
            <v>0.59</v>
          </cell>
          <cell r="L67">
            <v>0.59</v>
          </cell>
          <cell r="M67">
            <v>4800</v>
          </cell>
          <cell r="N67">
            <v>4800</v>
          </cell>
          <cell r="O67" t="str">
            <v>견적가</v>
          </cell>
        </row>
        <row r="68">
          <cell r="B68" t="str">
            <v>03980-037</v>
          </cell>
          <cell r="C68" t="str">
            <v>U-BOLT</v>
          </cell>
          <cell r="D68" t="str">
            <v>C S</v>
          </cell>
          <cell r="E68" t="str">
            <v>DN 80</v>
          </cell>
          <cell r="G68" t="str">
            <v>16320- 80</v>
          </cell>
          <cell r="H68">
            <v>11</v>
          </cell>
          <cell r="K68">
            <v>0.25900000000000001</v>
          </cell>
          <cell r="L68">
            <v>2.8490000000000002</v>
          </cell>
          <cell r="M68">
            <v>220</v>
          </cell>
          <cell r="N68">
            <v>2420</v>
          </cell>
          <cell r="O68" t="str">
            <v>물정 '98.11.p78</v>
          </cell>
        </row>
        <row r="69">
          <cell r="B69" t="str">
            <v>03980-036</v>
          </cell>
          <cell r="C69" t="str">
            <v>THR'D ROD</v>
          </cell>
          <cell r="D69" t="str">
            <v>C S</v>
          </cell>
          <cell r="E69" t="str">
            <v>M12</v>
          </cell>
          <cell r="F69">
            <v>1161</v>
          </cell>
          <cell r="G69" t="str">
            <v>16320- 80</v>
          </cell>
          <cell r="H69">
            <v>1</v>
          </cell>
          <cell r="K69">
            <v>0.91700000000000004</v>
          </cell>
          <cell r="L69">
            <v>0.91700000000000004</v>
          </cell>
          <cell r="M69">
            <v>3630</v>
          </cell>
          <cell r="N69">
            <v>3630</v>
          </cell>
          <cell r="O69" t="str">
            <v>견적가</v>
          </cell>
        </row>
        <row r="70">
          <cell r="B70" t="str">
            <v>03980-037</v>
          </cell>
          <cell r="C70" t="str">
            <v>PLATE</v>
          </cell>
          <cell r="D70" t="str">
            <v>C S</v>
          </cell>
          <cell r="E70" t="str">
            <v>PL200x200x12t</v>
          </cell>
          <cell r="G70" t="str">
            <v>16320- 80</v>
          </cell>
          <cell r="H70">
            <v>3</v>
          </cell>
          <cell r="K70">
            <v>3.7679999999999998</v>
          </cell>
          <cell r="L70">
            <v>11.304</v>
          </cell>
          <cell r="M70">
            <v>1526</v>
          </cell>
          <cell r="N70">
            <v>4578</v>
          </cell>
          <cell r="O70" t="str">
            <v>물정 '98.11 p.50</v>
          </cell>
        </row>
        <row r="71">
          <cell r="B71" t="str">
            <v>03980-037</v>
          </cell>
          <cell r="C71" t="str">
            <v>H-BEAM</v>
          </cell>
          <cell r="D71" t="str">
            <v>C S</v>
          </cell>
          <cell r="E71" t="str">
            <v>H100x100x6x8</v>
          </cell>
          <cell r="F71">
            <v>284</v>
          </cell>
          <cell r="G71" t="str">
            <v>16320- 80</v>
          </cell>
          <cell r="H71">
            <v>1</v>
          </cell>
          <cell r="K71">
            <v>4.8849999999999998</v>
          </cell>
          <cell r="L71">
            <v>4.8849999999999998</v>
          </cell>
          <cell r="M71">
            <v>2369</v>
          </cell>
          <cell r="N71">
            <v>2369</v>
          </cell>
          <cell r="O71" t="str">
            <v>물정 '98.11 p.47</v>
          </cell>
        </row>
        <row r="72">
          <cell r="B72" t="str">
            <v>03980-036</v>
          </cell>
          <cell r="C72" t="str">
            <v>EYE NUT</v>
          </cell>
          <cell r="D72" t="str">
            <v>C S</v>
          </cell>
          <cell r="E72" t="str">
            <v>M12</v>
          </cell>
          <cell r="G72" t="str">
            <v>16320- 80</v>
          </cell>
          <cell r="H72">
            <v>2</v>
          </cell>
          <cell r="K72">
            <v>0.28999999999999998</v>
          </cell>
          <cell r="L72">
            <v>0.57999999999999996</v>
          </cell>
          <cell r="M72">
            <v>1600</v>
          </cell>
          <cell r="N72">
            <v>3200</v>
          </cell>
          <cell r="O72" t="str">
            <v>견적가</v>
          </cell>
        </row>
        <row r="73">
          <cell r="B73" t="str">
            <v>03980-036</v>
          </cell>
          <cell r="C73" t="str">
            <v>CHANNEL</v>
          </cell>
          <cell r="D73" t="str">
            <v>C S</v>
          </cell>
          <cell r="E73" t="str">
            <v>C100x50x5x7.5</v>
          </cell>
          <cell r="F73">
            <v>450</v>
          </cell>
          <cell r="G73" t="str">
            <v>16320- 80</v>
          </cell>
          <cell r="H73">
            <v>1</v>
          </cell>
          <cell r="K73">
            <v>4.2119999999999997</v>
          </cell>
          <cell r="L73">
            <v>4.2119999999999997</v>
          </cell>
          <cell r="M73">
            <v>1769</v>
          </cell>
          <cell r="N73">
            <v>1769</v>
          </cell>
          <cell r="O73" t="str">
            <v>물정 '98.11 p.46</v>
          </cell>
        </row>
        <row r="74">
          <cell r="B74" t="str">
            <v>03980-037</v>
          </cell>
          <cell r="C74" t="str">
            <v>ANGLE</v>
          </cell>
          <cell r="D74" t="str">
            <v>C S</v>
          </cell>
          <cell r="E74" t="str">
            <v>L75x75x9</v>
          </cell>
          <cell r="F74">
            <v>225</v>
          </cell>
          <cell r="G74" t="str">
            <v>16320- 80</v>
          </cell>
          <cell r="H74">
            <v>1</v>
          </cell>
          <cell r="K74">
            <v>2.2410000000000001</v>
          </cell>
          <cell r="L74">
            <v>2.2410000000000001</v>
          </cell>
          <cell r="M74">
            <v>882</v>
          </cell>
          <cell r="N74">
            <v>882</v>
          </cell>
          <cell r="O74" t="str">
            <v>물정 '98.11 p.45</v>
          </cell>
        </row>
        <row r="75">
          <cell r="B75" t="str">
            <v>03980-038</v>
          </cell>
          <cell r="C75" t="str">
            <v>ANGLE</v>
          </cell>
          <cell r="D75" t="str">
            <v>C S</v>
          </cell>
          <cell r="E75" t="str">
            <v>L75x75x9</v>
          </cell>
          <cell r="F75">
            <v>284</v>
          </cell>
          <cell r="G75" t="str">
            <v>16320- 80</v>
          </cell>
          <cell r="H75">
            <v>2</v>
          </cell>
          <cell r="K75">
            <v>2.8290000000000002</v>
          </cell>
          <cell r="L75">
            <v>5.6580000000000004</v>
          </cell>
          <cell r="M75">
            <v>1114</v>
          </cell>
          <cell r="N75">
            <v>2228</v>
          </cell>
          <cell r="O75" t="str">
            <v>물정 '98.11 p.45</v>
          </cell>
        </row>
        <row r="76">
          <cell r="B76" t="str">
            <v>03980-060</v>
          </cell>
          <cell r="C76" t="str">
            <v>ANGLE</v>
          </cell>
          <cell r="D76" t="str">
            <v>C S</v>
          </cell>
          <cell r="E76" t="str">
            <v>L75x75x9</v>
          </cell>
          <cell r="F76">
            <v>430</v>
          </cell>
          <cell r="G76" t="str">
            <v>16320- 80</v>
          </cell>
          <cell r="H76">
            <v>1</v>
          </cell>
          <cell r="K76">
            <v>4.2830000000000004</v>
          </cell>
          <cell r="L76">
            <v>4.2830000000000004</v>
          </cell>
          <cell r="M76">
            <v>1687</v>
          </cell>
          <cell r="N76">
            <v>1687</v>
          </cell>
          <cell r="O76" t="str">
            <v>물정 '98.11 p.45</v>
          </cell>
        </row>
        <row r="77">
          <cell r="B77" t="str">
            <v>03980-037</v>
          </cell>
          <cell r="C77" t="str">
            <v>ANCHOR BOLT</v>
          </cell>
          <cell r="D77" t="str">
            <v>C S</v>
          </cell>
          <cell r="E77" t="str">
            <v>M12x155L</v>
          </cell>
          <cell r="G77" t="str">
            <v>16320- 80</v>
          </cell>
          <cell r="H77">
            <v>8</v>
          </cell>
          <cell r="K77">
            <v>0.124</v>
          </cell>
          <cell r="L77">
            <v>0.99199999999999999</v>
          </cell>
          <cell r="M77">
            <v>1480</v>
          </cell>
          <cell r="N77">
            <v>11840</v>
          </cell>
          <cell r="O77" t="str">
            <v>견적가</v>
          </cell>
        </row>
        <row r="78">
          <cell r="B78" t="str">
            <v>03980-036</v>
          </cell>
          <cell r="C78" t="str">
            <v>3-BOLT PIPE CLAMP</v>
          </cell>
          <cell r="D78" t="str">
            <v>C S</v>
          </cell>
          <cell r="E78" t="str">
            <v>DN 80</v>
          </cell>
          <cell r="G78" t="str">
            <v>16320- 80</v>
          </cell>
          <cell r="H78">
            <v>1</v>
          </cell>
          <cell r="K78">
            <v>1.36</v>
          </cell>
          <cell r="L78">
            <v>1.36</v>
          </cell>
          <cell r="M78">
            <v>10000</v>
          </cell>
          <cell r="N78">
            <v>10000</v>
          </cell>
          <cell r="O78" t="str">
            <v>견적가</v>
          </cell>
        </row>
        <row r="80">
          <cell r="B80" t="str">
            <v>03980-072</v>
          </cell>
          <cell r="C80" t="str">
            <v>PLATE</v>
          </cell>
          <cell r="D80" t="str">
            <v>C S</v>
          </cell>
          <cell r="E80" t="str">
            <v>PL300x300x15t</v>
          </cell>
          <cell r="G80" t="str">
            <v>22100-200</v>
          </cell>
          <cell r="H80">
            <v>2</v>
          </cell>
          <cell r="K80">
            <v>10.602</v>
          </cell>
          <cell r="L80">
            <v>21.204000000000001</v>
          </cell>
          <cell r="M80">
            <v>4293</v>
          </cell>
          <cell r="N80">
            <v>8586</v>
          </cell>
          <cell r="O80" t="str">
            <v>물정 '98.11 p.50</v>
          </cell>
        </row>
        <row r="81">
          <cell r="B81" t="str">
            <v>03980-072</v>
          </cell>
          <cell r="C81" t="str">
            <v>PLATE</v>
          </cell>
          <cell r="D81" t="str">
            <v>C S</v>
          </cell>
          <cell r="E81" t="str">
            <v>PL107x70x9t</v>
          </cell>
          <cell r="G81" t="str">
            <v>22100-200</v>
          </cell>
          <cell r="H81">
            <v>8</v>
          </cell>
          <cell r="K81">
            <v>0.52900000000000003</v>
          </cell>
          <cell r="L81">
            <v>4.2320000000000002</v>
          </cell>
          <cell r="M81">
            <v>219</v>
          </cell>
          <cell r="N81">
            <v>1752</v>
          </cell>
          <cell r="O81" t="str">
            <v>물정 '98.11 p.50</v>
          </cell>
        </row>
        <row r="82">
          <cell r="B82" t="str">
            <v>03980-077</v>
          </cell>
          <cell r="C82" t="str">
            <v>H-BEAM</v>
          </cell>
          <cell r="D82" t="str">
            <v>C S</v>
          </cell>
          <cell r="E82" t="str">
            <v>H150x150x7x9</v>
          </cell>
          <cell r="F82">
            <v>3300</v>
          </cell>
          <cell r="G82" t="str">
            <v>22100-200</v>
          </cell>
          <cell r="H82">
            <v>1</v>
          </cell>
          <cell r="K82">
            <v>103.95</v>
          </cell>
          <cell r="L82">
            <v>103.95</v>
          </cell>
          <cell r="M82">
            <v>50415</v>
          </cell>
          <cell r="N82">
            <v>50415</v>
          </cell>
          <cell r="O82" t="str">
            <v>물정 '98.11 p.47</v>
          </cell>
        </row>
        <row r="83">
          <cell r="B83" t="str">
            <v>03980-077</v>
          </cell>
          <cell r="C83" t="str">
            <v>H-BEAM</v>
          </cell>
          <cell r="D83" t="str">
            <v>C S</v>
          </cell>
          <cell r="E83" t="str">
            <v>H150x150x7x9</v>
          </cell>
          <cell r="F83">
            <v>535</v>
          </cell>
          <cell r="G83" t="str">
            <v>22100-200</v>
          </cell>
          <cell r="H83">
            <v>2</v>
          </cell>
          <cell r="K83">
            <v>16.853000000000002</v>
          </cell>
          <cell r="L83">
            <v>33.706000000000003</v>
          </cell>
          <cell r="M83">
            <v>8173</v>
          </cell>
          <cell r="N83">
            <v>16346</v>
          </cell>
          <cell r="O83" t="str">
            <v>물정 '98.11 p.47</v>
          </cell>
        </row>
        <row r="84">
          <cell r="B84" t="str">
            <v>03980-072</v>
          </cell>
          <cell r="C84" t="str">
            <v>H-BEAM</v>
          </cell>
          <cell r="D84" t="str">
            <v>C S</v>
          </cell>
          <cell r="E84" t="str">
            <v>H100x100x6x8</v>
          </cell>
          <cell r="F84">
            <v>200</v>
          </cell>
          <cell r="G84" t="str">
            <v>22100-200</v>
          </cell>
          <cell r="H84">
            <v>2</v>
          </cell>
          <cell r="K84">
            <v>3.44</v>
          </cell>
          <cell r="L84">
            <v>6.88</v>
          </cell>
          <cell r="M84">
            <v>1668</v>
          </cell>
          <cell r="N84">
            <v>3336</v>
          </cell>
          <cell r="O84" t="str">
            <v>물정 '98.11 p.47</v>
          </cell>
        </row>
        <row r="85">
          <cell r="B85" t="str">
            <v>03980-072</v>
          </cell>
          <cell r="C85" t="str">
            <v>CT</v>
          </cell>
          <cell r="D85" t="str">
            <v>C S</v>
          </cell>
          <cell r="E85" t="str">
            <v>CT100x150x6x9</v>
          </cell>
          <cell r="F85">
            <v>200</v>
          </cell>
          <cell r="G85" t="str">
            <v>22100-200</v>
          </cell>
          <cell r="H85">
            <v>2</v>
          </cell>
          <cell r="K85">
            <v>3.06</v>
          </cell>
          <cell r="L85">
            <v>6.12</v>
          </cell>
          <cell r="M85">
            <v>1569</v>
          </cell>
          <cell r="N85">
            <v>3138</v>
          </cell>
          <cell r="O85" t="str">
            <v>물정 '98.11 p.48</v>
          </cell>
        </row>
        <row r="86">
          <cell r="B86" t="str">
            <v>03980-072</v>
          </cell>
          <cell r="C86" t="str">
            <v>ANCHOR BOLT</v>
          </cell>
          <cell r="D86" t="str">
            <v>C S</v>
          </cell>
          <cell r="E86" t="str">
            <v>M16x177L</v>
          </cell>
          <cell r="G86" t="str">
            <v>22100-200</v>
          </cell>
          <cell r="H86">
            <v>12</v>
          </cell>
          <cell r="K86">
            <v>0.34699999999999998</v>
          </cell>
          <cell r="L86">
            <v>4.1639999999999997</v>
          </cell>
          <cell r="M86">
            <v>1660</v>
          </cell>
          <cell r="N86">
            <v>19920</v>
          </cell>
          <cell r="O86" t="str">
            <v>견적가</v>
          </cell>
        </row>
        <row r="87">
          <cell r="B87" t="str">
            <v>03980-073</v>
          </cell>
          <cell r="C87" t="str">
            <v>PLATE</v>
          </cell>
          <cell r="D87" t="str">
            <v>C S</v>
          </cell>
          <cell r="E87" t="str">
            <v>PL300x300x15t</v>
          </cell>
          <cell r="G87" t="str">
            <v>22100-300</v>
          </cell>
          <cell r="H87">
            <v>4</v>
          </cell>
          <cell r="K87">
            <v>10.602</v>
          </cell>
          <cell r="L87">
            <v>42.408000000000001</v>
          </cell>
          <cell r="M87">
            <v>4293</v>
          </cell>
          <cell r="N87">
            <v>17172</v>
          </cell>
          <cell r="O87" t="str">
            <v>물정 '98.11 p.50</v>
          </cell>
        </row>
        <row r="88">
          <cell r="B88" t="str">
            <v>03980-077</v>
          </cell>
          <cell r="C88" t="str">
            <v>PLATE</v>
          </cell>
          <cell r="D88" t="str">
            <v>C S</v>
          </cell>
          <cell r="E88" t="str">
            <v>PL300x250x15t</v>
          </cell>
          <cell r="G88" t="str">
            <v>22100-300</v>
          </cell>
          <cell r="H88">
            <v>2</v>
          </cell>
          <cell r="K88">
            <v>8.8350000000000009</v>
          </cell>
          <cell r="L88">
            <v>17.670000000000002</v>
          </cell>
          <cell r="M88">
            <v>3578</v>
          </cell>
          <cell r="N88">
            <v>7156</v>
          </cell>
          <cell r="O88" t="str">
            <v>물정 '98.11 p.50</v>
          </cell>
        </row>
        <row r="89">
          <cell r="B89" t="str">
            <v>03980-102</v>
          </cell>
          <cell r="C89" t="str">
            <v>PLATE</v>
          </cell>
          <cell r="D89" t="str">
            <v>C S</v>
          </cell>
          <cell r="E89" t="str">
            <v>PL300x240x9t</v>
          </cell>
          <cell r="G89" t="str">
            <v>22100-300</v>
          </cell>
          <cell r="H89">
            <v>12</v>
          </cell>
          <cell r="K89">
            <v>5.0869999999999997</v>
          </cell>
          <cell r="L89">
            <v>61.043999999999997</v>
          </cell>
          <cell r="M89">
            <v>2111</v>
          </cell>
          <cell r="N89">
            <v>25332</v>
          </cell>
          <cell r="O89" t="str">
            <v>물정 '98.11 p.50</v>
          </cell>
        </row>
        <row r="90">
          <cell r="B90" t="str">
            <v>03980-084</v>
          </cell>
          <cell r="C90" t="str">
            <v>PLATE</v>
          </cell>
          <cell r="D90" t="str">
            <v>C S</v>
          </cell>
          <cell r="E90" t="str">
            <v>PL270x270x12t</v>
          </cell>
          <cell r="G90" t="str">
            <v>22100-300</v>
          </cell>
          <cell r="H90">
            <v>6</v>
          </cell>
          <cell r="K90">
            <v>6.867</v>
          </cell>
          <cell r="L90">
            <v>41.201999999999998</v>
          </cell>
          <cell r="M90">
            <v>2781</v>
          </cell>
          <cell r="N90">
            <v>16686</v>
          </cell>
          <cell r="O90" t="str">
            <v>물정 '98.11 p.50</v>
          </cell>
        </row>
        <row r="91">
          <cell r="B91" t="str">
            <v>03980-103</v>
          </cell>
          <cell r="C91" t="str">
            <v>PLATE</v>
          </cell>
          <cell r="D91" t="str">
            <v>C S</v>
          </cell>
          <cell r="E91" t="str">
            <v>PL250x98x15t</v>
          </cell>
          <cell r="G91" t="str">
            <v>22100-300</v>
          </cell>
          <cell r="H91">
            <v>20</v>
          </cell>
          <cell r="K91">
            <v>2.8860000000000001</v>
          </cell>
          <cell r="L91">
            <v>57.72</v>
          </cell>
          <cell r="M91">
            <v>1168</v>
          </cell>
          <cell r="N91">
            <v>23360</v>
          </cell>
          <cell r="O91" t="str">
            <v>물정 '98.11 p.50</v>
          </cell>
        </row>
        <row r="92">
          <cell r="B92" t="str">
            <v>03980-074</v>
          </cell>
          <cell r="C92" t="str">
            <v>PLATE</v>
          </cell>
          <cell r="D92" t="str">
            <v>C S</v>
          </cell>
          <cell r="E92" t="str">
            <v>PL220x100x15t</v>
          </cell>
          <cell r="G92" t="str">
            <v>22100-300</v>
          </cell>
          <cell r="H92">
            <v>8</v>
          </cell>
          <cell r="K92">
            <v>2.5920000000000001</v>
          </cell>
          <cell r="L92">
            <v>20.736000000000001</v>
          </cell>
          <cell r="M92">
            <v>1049</v>
          </cell>
          <cell r="N92">
            <v>8392</v>
          </cell>
          <cell r="O92" t="str">
            <v>물정 '98.11 p.50</v>
          </cell>
        </row>
        <row r="93">
          <cell r="B93" t="str">
            <v>03980-102</v>
          </cell>
          <cell r="C93" t="str">
            <v>PLATE</v>
          </cell>
          <cell r="D93" t="str">
            <v>C S</v>
          </cell>
          <cell r="E93" t="str">
            <v>PL200x200x9t</v>
          </cell>
          <cell r="G93" t="str">
            <v>22100-300</v>
          </cell>
          <cell r="H93">
            <v>4</v>
          </cell>
          <cell r="K93">
            <v>2.8260000000000001</v>
          </cell>
          <cell r="L93">
            <v>11.304</v>
          </cell>
          <cell r="M93">
            <v>1172</v>
          </cell>
          <cell r="N93">
            <v>4688</v>
          </cell>
          <cell r="O93" t="str">
            <v>물정 '98.11 p.50</v>
          </cell>
        </row>
        <row r="94">
          <cell r="B94" t="str">
            <v>03980-081</v>
          </cell>
          <cell r="C94" t="str">
            <v>PLATE</v>
          </cell>
          <cell r="D94" t="str">
            <v>C S</v>
          </cell>
          <cell r="E94" t="str">
            <v>PL150x50x15t</v>
          </cell>
          <cell r="G94" t="str">
            <v>22100-300</v>
          </cell>
          <cell r="H94">
            <v>42</v>
          </cell>
          <cell r="K94">
            <v>0.88400000000000001</v>
          </cell>
          <cell r="L94">
            <v>37.128</v>
          </cell>
          <cell r="M94">
            <v>358</v>
          </cell>
          <cell r="N94">
            <v>15036</v>
          </cell>
          <cell r="O94" t="str">
            <v>물정 '98.11 p.50</v>
          </cell>
        </row>
        <row r="95">
          <cell r="B95" t="str">
            <v>03980-102</v>
          </cell>
          <cell r="C95" t="str">
            <v>PLATE</v>
          </cell>
          <cell r="D95" t="str">
            <v>C S</v>
          </cell>
          <cell r="E95" t="str">
            <v>PL140x98x15t</v>
          </cell>
          <cell r="G95" t="str">
            <v>22100-300</v>
          </cell>
          <cell r="H95">
            <v>4</v>
          </cell>
          <cell r="K95">
            <v>1.6160000000000001</v>
          </cell>
          <cell r="L95">
            <v>6.4640000000000004</v>
          </cell>
          <cell r="M95">
            <v>654</v>
          </cell>
          <cell r="N95">
            <v>2616</v>
          </cell>
          <cell r="O95" t="str">
            <v>물정 '98.11 p.50</v>
          </cell>
        </row>
        <row r="96">
          <cell r="B96" t="str">
            <v>03980-073</v>
          </cell>
          <cell r="C96" t="str">
            <v>PLATE</v>
          </cell>
          <cell r="D96" t="str">
            <v>C S</v>
          </cell>
          <cell r="E96" t="str">
            <v>PL103x96x10t</v>
          </cell>
          <cell r="G96" t="str">
            <v>22100-300</v>
          </cell>
          <cell r="H96">
            <v>384</v>
          </cell>
          <cell r="K96">
            <v>0.77600000000000002</v>
          </cell>
          <cell r="L96">
            <v>297.98399999999998</v>
          </cell>
          <cell r="M96">
            <v>314</v>
          </cell>
          <cell r="N96">
            <v>120576</v>
          </cell>
          <cell r="O96" t="str">
            <v>물정 '98.11 p.50</v>
          </cell>
        </row>
        <row r="97">
          <cell r="B97" t="str">
            <v>03980-084</v>
          </cell>
          <cell r="C97" t="str">
            <v>PIPE STD WT</v>
          </cell>
          <cell r="D97" t="str">
            <v>C S</v>
          </cell>
          <cell r="E97" t="str">
            <v>DN200</v>
          </cell>
          <cell r="F97">
            <v>128</v>
          </cell>
          <cell r="G97" t="str">
            <v>22100-300</v>
          </cell>
          <cell r="H97">
            <v>6</v>
          </cell>
          <cell r="K97">
            <v>5.484</v>
          </cell>
          <cell r="L97">
            <v>32.904000000000003</v>
          </cell>
          <cell r="M97">
            <v>312.32</v>
          </cell>
          <cell r="N97">
            <v>1873</v>
          </cell>
          <cell r="O97" t="str">
            <v>물자 '98.11 p.476</v>
          </cell>
        </row>
        <row r="98">
          <cell r="B98" t="str">
            <v>03980-102</v>
          </cell>
          <cell r="C98" t="str">
            <v>PIPE STD WT</v>
          </cell>
          <cell r="D98" t="str">
            <v>C S</v>
          </cell>
          <cell r="E98" t="str">
            <v>DN150</v>
          </cell>
          <cell r="F98">
            <v>220</v>
          </cell>
          <cell r="G98" t="str">
            <v>22100-300</v>
          </cell>
          <cell r="H98">
            <v>4</v>
          </cell>
          <cell r="K98">
            <v>6.22</v>
          </cell>
          <cell r="L98">
            <v>24.88</v>
          </cell>
          <cell r="M98">
            <v>3582.26</v>
          </cell>
          <cell r="N98">
            <v>14329</v>
          </cell>
          <cell r="O98" t="str">
            <v>물자 '98.11 p.476</v>
          </cell>
        </row>
        <row r="99">
          <cell r="B99" t="str">
            <v>03980-101</v>
          </cell>
          <cell r="C99" t="str">
            <v>H-BEAM</v>
          </cell>
          <cell r="D99" t="str">
            <v>C S</v>
          </cell>
          <cell r="E99" t="str">
            <v>H150x150x7x9</v>
          </cell>
          <cell r="F99">
            <v>302</v>
          </cell>
          <cell r="G99" t="str">
            <v>22100-300</v>
          </cell>
          <cell r="H99">
            <v>2</v>
          </cell>
          <cell r="K99">
            <v>9.5129999999999999</v>
          </cell>
          <cell r="L99">
            <v>19.026</v>
          </cell>
          <cell r="M99">
            <v>4613</v>
          </cell>
          <cell r="N99">
            <v>9226</v>
          </cell>
          <cell r="O99" t="str">
            <v>물정 '98.11 p.47</v>
          </cell>
        </row>
        <row r="100">
          <cell r="B100" t="str">
            <v>03980-087</v>
          </cell>
          <cell r="C100" t="str">
            <v>H-BEAM</v>
          </cell>
          <cell r="D100" t="str">
            <v>C S</v>
          </cell>
          <cell r="E100" t="str">
            <v>H150x100x6x9</v>
          </cell>
          <cell r="F100">
            <v>775</v>
          </cell>
          <cell r="G100" t="str">
            <v>22100-300</v>
          </cell>
          <cell r="H100">
            <v>5</v>
          </cell>
          <cell r="K100">
            <v>16.353000000000002</v>
          </cell>
          <cell r="L100">
            <v>81.765000000000001</v>
          </cell>
          <cell r="M100">
            <v>7931</v>
          </cell>
          <cell r="N100">
            <v>39655</v>
          </cell>
          <cell r="O100" t="str">
            <v>물정 '98.11 p.47</v>
          </cell>
        </row>
        <row r="101">
          <cell r="B101" t="str">
            <v>03980-087</v>
          </cell>
          <cell r="C101" t="str">
            <v>H-BEAM</v>
          </cell>
          <cell r="D101" t="str">
            <v>C S</v>
          </cell>
          <cell r="E101" t="str">
            <v>H150x100x6x9</v>
          </cell>
          <cell r="F101">
            <v>1800</v>
          </cell>
          <cell r="G101" t="str">
            <v>22100-300</v>
          </cell>
          <cell r="H101">
            <v>10</v>
          </cell>
          <cell r="K101">
            <v>37.979999999999997</v>
          </cell>
          <cell r="L101">
            <v>379.8</v>
          </cell>
          <cell r="M101">
            <v>18420</v>
          </cell>
          <cell r="N101">
            <v>184200</v>
          </cell>
          <cell r="O101" t="str">
            <v>물정 '98.11 p.47</v>
          </cell>
        </row>
        <row r="102">
          <cell r="B102" t="str">
            <v>03980-073</v>
          </cell>
          <cell r="C102" t="str">
            <v>H-BEAM</v>
          </cell>
          <cell r="D102" t="str">
            <v>C S</v>
          </cell>
          <cell r="E102" t="str">
            <v>H100x100x6x8</v>
          </cell>
          <cell r="F102">
            <v>520</v>
          </cell>
          <cell r="G102" t="str">
            <v>22100-300</v>
          </cell>
          <cell r="H102">
            <v>2</v>
          </cell>
          <cell r="K102">
            <v>8.9440000000000008</v>
          </cell>
          <cell r="L102">
            <v>17.888000000000002</v>
          </cell>
          <cell r="M102">
            <v>4337</v>
          </cell>
          <cell r="N102">
            <v>8674</v>
          </cell>
          <cell r="O102" t="str">
            <v>물정 '98.11 p.47</v>
          </cell>
        </row>
        <row r="103">
          <cell r="B103" t="str">
            <v>03980-091</v>
          </cell>
          <cell r="C103" t="str">
            <v>H-BEAM</v>
          </cell>
          <cell r="D103" t="str">
            <v>C S</v>
          </cell>
          <cell r="E103" t="str">
            <v>H100x100x6x8</v>
          </cell>
          <cell r="F103">
            <v>1000</v>
          </cell>
          <cell r="G103" t="str">
            <v>22100-300</v>
          </cell>
          <cell r="H103">
            <v>3</v>
          </cell>
          <cell r="K103">
            <v>17.2</v>
          </cell>
          <cell r="L103">
            <v>51.6</v>
          </cell>
          <cell r="M103">
            <v>8342</v>
          </cell>
          <cell r="N103">
            <v>25026</v>
          </cell>
          <cell r="O103" t="str">
            <v>물정 '98.11 p.47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row r="8">
          <cell r="A8" t="str">
            <v>HBY</v>
          </cell>
        </row>
        <row r="9">
          <cell r="A9" t="str">
            <v>85500-001</v>
          </cell>
          <cell r="B9" t="str">
            <v>ANCHOR BOLT</v>
          </cell>
          <cell r="C9" t="str">
            <v>C S</v>
          </cell>
          <cell r="D9" t="str">
            <v>M10x80L</v>
          </cell>
          <cell r="F9" t="str">
            <v>71730-150</v>
          </cell>
          <cell r="G9">
            <v>64</v>
          </cell>
          <cell r="H9">
            <v>0.11</v>
          </cell>
          <cell r="I9">
            <v>7.04</v>
          </cell>
        </row>
        <row r="10">
          <cell r="A10" t="str">
            <v>85500-001</v>
          </cell>
          <cell r="B10" t="str">
            <v>ANGLE</v>
          </cell>
          <cell r="C10" t="str">
            <v>C S</v>
          </cell>
          <cell r="D10" t="str">
            <v>L50X50X6</v>
          </cell>
          <cell r="E10">
            <v>1800</v>
          </cell>
          <cell r="F10" t="str">
            <v>71730-150</v>
          </cell>
          <cell r="G10">
            <v>1</v>
          </cell>
          <cell r="H10">
            <v>27.02</v>
          </cell>
          <cell r="I10">
            <v>27.02</v>
          </cell>
          <cell r="J10">
            <v>0.05</v>
          </cell>
        </row>
        <row r="11">
          <cell r="A11" t="str">
            <v>85500-001</v>
          </cell>
          <cell r="B11" t="str">
            <v>CHANNEL</v>
          </cell>
          <cell r="C11" t="str">
            <v>C S</v>
          </cell>
          <cell r="D11" t="str">
            <v>ㄷ100x50x5</v>
          </cell>
          <cell r="E11">
            <v>6100</v>
          </cell>
          <cell r="F11" t="str">
            <v>71730-150</v>
          </cell>
          <cell r="G11">
            <v>1</v>
          </cell>
          <cell r="H11">
            <v>57.1</v>
          </cell>
          <cell r="I11">
            <v>57.1</v>
          </cell>
          <cell r="J11">
            <v>0.05</v>
          </cell>
        </row>
        <row r="12">
          <cell r="A12" t="str">
            <v>85500-001</v>
          </cell>
          <cell r="B12" t="str">
            <v>CHANNEL</v>
          </cell>
          <cell r="C12" t="str">
            <v>C S</v>
          </cell>
          <cell r="D12" t="str">
            <v>ㄷ100x50x5</v>
          </cell>
          <cell r="E12">
            <v>2150</v>
          </cell>
          <cell r="F12" t="str">
            <v>71730-150</v>
          </cell>
          <cell r="G12">
            <v>5</v>
          </cell>
          <cell r="H12">
            <v>20.12</v>
          </cell>
          <cell r="I12">
            <v>100.6</v>
          </cell>
          <cell r="J12">
            <v>0.05</v>
          </cell>
        </row>
        <row r="13">
          <cell r="A13" t="str">
            <v>85500-001</v>
          </cell>
          <cell r="B13" t="str">
            <v>CHANNEL</v>
          </cell>
          <cell r="C13" t="str">
            <v>C S</v>
          </cell>
          <cell r="D13" t="str">
            <v>ㄷ100x50x5</v>
          </cell>
          <cell r="E13">
            <v>1900</v>
          </cell>
          <cell r="F13" t="str">
            <v>71730-150</v>
          </cell>
          <cell r="G13">
            <v>3</v>
          </cell>
          <cell r="H13">
            <v>17.78</v>
          </cell>
          <cell r="I13">
            <v>53.34</v>
          </cell>
          <cell r="J13">
            <v>0.05</v>
          </cell>
        </row>
        <row r="14">
          <cell r="A14" t="str">
            <v>85500-001</v>
          </cell>
          <cell r="B14" t="str">
            <v>STEEL PLATE</v>
          </cell>
          <cell r="C14" t="str">
            <v>C S</v>
          </cell>
          <cell r="D14" t="str">
            <v>PL150x150x9</v>
          </cell>
          <cell r="F14" t="str">
            <v>71730-150</v>
          </cell>
          <cell r="G14">
            <v>16</v>
          </cell>
          <cell r="H14">
            <v>1.59</v>
          </cell>
          <cell r="I14">
            <v>25.44</v>
          </cell>
          <cell r="J14">
            <v>0.1</v>
          </cell>
        </row>
        <row r="15">
          <cell r="A15" t="str">
            <v>85500-001</v>
          </cell>
          <cell r="B15" t="str">
            <v>U-BOLT</v>
          </cell>
          <cell r="C15" t="str">
            <v>C S</v>
          </cell>
          <cell r="D15" t="str">
            <v>DN150</v>
          </cell>
          <cell r="F15" t="str">
            <v>71730-150</v>
          </cell>
          <cell r="G15">
            <v>22</v>
          </cell>
          <cell r="H15">
            <v>1.1499999999999999</v>
          </cell>
          <cell r="I15">
            <v>25.3</v>
          </cell>
        </row>
        <row r="16">
          <cell r="A16" t="str">
            <v>85500-002</v>
          </cell>
          <cell r="B16" t="str">
            <v>ANCHOR BOLT</v>
          </cell>
          <cell r="C16" t="str">
            <v>C S</v>
          </cell>
          <cell r="D16" t="str">
            <v>M10x80L</v>
          </cell>
          <cell r="F16" t="str">
            <v>71730-125</v>
          </cell>
          <cell r="G16">
            <v>20</v>
          </cell>
          <cell r="H16">
            <v>0.11</v>
          </cell>
          <cell r="I16">
            <v>2.2000000000000002</v>
          </cell>
        </row>
        <row r="17">
          <cell r="A17" t="str">
            <v>85500-002</v>
          </cell>
          <cell r="B17" t="str">
            <v>CHANNEL</v>
          </cell>
          <cell r="C17" t="str">
            <v>C S</v>
          </cell>
          <cell r="D17" t="str">
            <v>ㄷ100x50x5</v>
          </cell>
          <cell r="E17">
            <v>2710</v>
          </cell>
          <cell r="F17" t="str">
            <v>71730-125</v>
          </cell>
          <cell r="G17">
            <v>1</v>
          </cell>
          <cell r="H17">
            <v>25.37</v>
          </cell>
          <cell r="I17">
            <v>25.37</v>
          </cell>
          <cell r="J17">
            <v>0.05</v>
          </cell>
        </row>
        <row r="18">
          <cell r="A18" t="str">
            <v>85500-002</v>
          </cell>
          <cell r="B18" t="str">
            <v>CHANNEL</v>
          </cell>
          <cell r="C18" t="str">
            <v>C S</v>
          </cell>
          <cell r="D18" t="str">
            <v>ㄷ100x50x5</v>
          </cell>
          <cell r="E18">
            <v>2230</v>
          </cell>
          <cell r="F18" t="str">
            <v>71730-125</v>
          </cell>
          <cell r="G18">
            <v>1</v>
          </cell>
          <cell r="H18">
            <v>20.87</v>
          </cell>
          <cell r="I18">
            <v>20.87</v>
          </cell>
          <cell r="J18">
            <v>0.05</v>
          </cell>
        </row>
        <row r="19">
          <cell r="A19" t="str">
            <v>85500-002</v>
          </cell>
          <cell r="B19" t="str">
            <v>CHANNEL</v>
          </cell>
          <cell r="C19" t="str">
            <v>C S</v>
          </cell>
          <cell r="D19" t="str">
            <v>ㄷ100x50x5</v>
          </cell>
          <cell r="E19">
            <v>3200</v>
          </cell>
          <cell r="F19" t="str">
            <v>71730-125</v>
          </cell>
          <cell r="G19">
            <v>1</v>
          </cell>
          <cell r="H19">
            <v>29.55</v>
          </cell>
          <cell r="I19">
            <v>29.55</v>
          </cell>
          <cell r="J19">
            <v>0.05</v>
          </cell>
        </row>
        <row r="20">
          <cell r="A20" t="str">
            <v>85500-002</v>
          </cell>
          <cell r="B20" t="str">
            <v>STEEL PLATE</v>
          </cell>
          <cell r="C20" t="str">
            <v>C S</v>
          </cell>
          <cell r="D20" t="str">
            <v>PL150x150x9</v>
          </cell>
          <cell r="F20" t="str">
            <v>71730-125</v>
          </cell>
          <cell r="G20">
            <v>5</v>
          </cell>
          <cell r="H20">
            <v>1.59</v>
          </cell>
          <cell r="I20">
            <v>7.95</v>
          </cell>
          <cell r="J20">
            <v>0.1</v>
          </cell>
        </row>
        <row r="21">
          <cell r="A21" t="str">
            <v>85500-002</v>
          </cell>
          <cell r="B21" t="str">
            <v>U-BOLT</v>
          </cell>
          <cell r="C21" t="str">
            <v>C S</v>
          </cell>
          <cell r="D21" t="str">
            <v>DN125</v>
          </cell>
          <cell r="F21" t="str">
            <v>71730-125</v>
          </cell>
          <cell r="G21">
            <v>10</v>
          </cell>
          <cell r="H21">
            <v>1</v>
          </cell>
          <cell r="I21">
            <v>10</v>
          </cell>
        </row>
        <row r="22">
          <cell r="A22" t="str">
            <v>85500-005</v>
          </cell>
          <cell r="B22" t="str">
            <v>ANGLE</v>
          </cell>
          <cell r="C22" t="str">
            <v>C S</v>
          </cell>
          <cell r="D22" t="str">
            <v>L50X50X6</v>
          </cell>
          <cell r="E22">
            <v>1000</v>
          </cell>
          <cell r="F22" t="str">
            <v>71730- 50</v>
          </cell>
          <cell r="G22">
            <v>15</v>
          </cell>
          <cell r="H22">
            <v>4.43</v>
          </cell>
          <cell r="I22">
            <v>66.45</v>
          </cell>
          <cell r="J22">
            <v>0.05</v>
          </cell>
        </row>
        <row r="23">
          <cell r="A23" t="str">
            <v>85500-005</v>
          </cell>
          <cell r="B23" t="str">
            <v>ANGLE</v>
          </cell>
          <cell r="C23" t="str">
            <v>C S</v>
          </cell>
          <cell r="D23" t="str">
            <v>L50X50X6</v>
          </cell>
          <cell r="E23">
            <v>500</v>
          </cell>
          <cell r="F23" t="str">
            <v>71730- 50</v>
          </cell>
          <cell r="G23">
            <v>8</v>
          </cell>
          <cell r="H23">
            <v>2.2000000000000002</v>
          </cell>
          <cell r="I23">
            <v>17.600000000000001</v>
          </cell>
          <cell r="J23">
            <v>0.05</v>
          </cell>
        </row>
        <row r="24">
          <cell r="A24" t="str">
            <v>85500-006</v>
          </cell>
          <cell r="B24" t="str">
            <v>ANGLE</v>
          </cell>
          <cell r="C24" t="str">
            <v>C S</v>
          </cell>
          <cell r="D24" t="str">
            <v>L50X50X6</v>
          </cell>
          <cell r="E24">
            <v>1100</v>
          </cell>
          <cell r="F24" t="str">
            <v>71730- 50</v>
          </cell>
          <cell r="G24">
            <v>8</v>
          </cell>
          <cell r="H24">
            <v>4.87</v>
          </cell>
          <cell r="I24">
            <v>38.96</v>
          </cell>
          <cell r="J24">
            <v>0.05</v>
          </cell>
        </row>
        <row r="25">
          <cell r="A25" t="str">
            <v>85500-005</v>
          </cell>
          <cell r="B25" t="str">
            <v>STEEL PLATE</v>
          </cell>
          <cell r="C25" t="str">
            <v>C S</v>
          </cell>
          <cell r="D25" t="str">
            <v>PL150x150x9</v>
          </cell>
          <cell r="F25" t="str">
            <v>71730- 50</v>
          </cell>
          <cell r="G25">
            <v>31</v>
          </cell>
          <cell r="H25">
            <v>1.59</v>
          </cell>
          <cell r="I25">
            <v>49.29</v>
          </cell>
          <cell r="J25">
            <v>0.1</v>
          </cell>
        </row>
        <row r="26">
          <cell r="A26" t="str">
            <v>85500-005</v>
          </cell>
          <cell r="B26" t="str">
            <v>U-BOLT</v>
          </cell>
          <cell r="C26" t="str">
            <v>C S</v>
          </cell>
          <cell r="D26" t="str">
            <v>DN50</v>
          </cell>
          <cell r="F26" t="str">
            <v>71730- 50</v>
          </cell>
          <cell r="G26">
            <v>62</v>
          </cell>
          <cell r="H26">
            <v>0.17</v>
          </cell>
          <cell r="I26">
            <v>10.54</v>
          </cell>
        </row>
        <row r="27">
          <cell r="A27" t="str">
            <v>85500-004</v>
          </cell>
          <cell r="B27" t="str">
            <v>ANGLE</v>
          </cell>
          <cell r="C27" t="str">
            <v>C S</v>
          </cell>
          <cell r="D27" t="str">
            <v>L50X50X6</v>
          </cell>
          <cell r="E27">
            <v>1800</v>
          </cell>
          <cell r="F27" t="str">
            <v>71730- 25</v>
          </cell>
          <cell r="G27">
            <v>13</v>
          </cell>
          <cell r="H27">
            <v>7.97</v>
          </cell>
          <cell r="I27">
            <v>103.61</v>
          </cell>
          <cell r="J27">
            <v>0.05</v>
          </cell>
        </row>
        <row r="28">
          <cell r="A28" t="str">
            <v>85500-005</v>
          </cell>
          <cell r="B28" t="str">
            <v>ANGLE</v>
          </cell>
          <cell r="C28" t="str">
            <v>C S</v>
          </cell>
          <cell r="D28" t="str">
            <v>L50X50X6</v>
          </cell>
          <cell r="E28">
            <v>500</v>
          </cell>
          <cell r="F28" t="str">
            <v>71730- 25</v>
          </cell>
          <cell r="G28">
            <v>4</v>
          </cell>
          <cell r="H28">
            <v>2.2200000000000002</v>
          </cell>
          <cell r="I28">
            <v>8.8800000000000008</v>
          </cell>
          <cell r="J28">
            <v>0.05</v>
          </cell>
        </row>
        <row r="29">
          <cell r="A29" t="str">
            <v>85500-006</v>
          </cell>
          <cell r="B29" t="str">
            <v>ANGLE</v>
          </cell>
          <cell r="C29" t="str">
            <v>C S</v>
          </cell>
          <cell r="D29" t="str">
            <v>L50X50X6</v>
          </cell>
          <cell r="E29">
            <v>1100</v>
          </cell>
          <cell r="F29" t="str">
            <v>71730- 25</v>
          </cell>
          <cell r="G29">
            <v>10</v>
          </cell>
          <cell r="H29">
            <v>4.87</v>
          </cell>
          <cell r="I29">
            <v>48.7</v>
          </cell>
          <cell r="J29">
            <v>0.05</v>
          </cell>
        </row>
        <row r="30">
          <cell r="A30" t="str">
            <v>85500-006</v>
          </cell>
          <cell r="B30" t="str">
            <v>ANGLE</v>
          </cell>
          <cell r="C30" t="str">
            <v>C S</v>
          </cell>
          <cell r="D30" t="str">
            <v>L50X50X6</v>
          </cell>
          <cell r="E30">
            <v>2100</v>
          </cell>
          <cell r="F30" t="str">
            <v>71730- 25</v>
          </cell>
          <cell r="G30">
            <v>10</v>
          </cell>
          <cell r="H30">
            <v>9.3000000000000007</v>
          </cell>
          <cell r="I30">
            <v>93</v>
          </cell>
          <cell r="J30">
            <v>0.05</v>
          </cell>
        </row>
        <row r="31">
          <cell r="A31" t="str">
            <v>85500-008</v>
          </cell>
          <cell r="B31" t="str">
            <v>ANGLE</v>
          </cell>
          <cell r="C31" t="str">
            <v>C S</v>
          </cell>
          <cell r="D31" t="str">
            <v>L50X50X6</v>
          </cell>
          <cell r="E31">
            <v>2000</v>
          </cell>
          <cell r="F31" t="str">
            <v>71730- 25</v>
          </cell>
          <cell r="G31">
            <v>1</v>
          </cell>
          <cell r="H31">
            <v>8.86</v>
          </cell>
          <cell r="I31">
            <v>8.86</v>
          </cell>
          <cell r="J31">
            <v>0.05</v>
          </cell>
        </row>
        <row r="32">
          <cell r="A32" t="str">
            <v>85500-004</v>
          </cell>
          <cell r="B32" t="str">
            <v>STEEL PLATE</v>
          </cell>
          <cell r="C32" t="str">
            <v>C S</v>
          </cell>
          <cell r="D32" t="str">
            <v>PL150x150x9</v>
          </cell>
          <cell r="F32" t="str">
            <v>71730- 25</v>
          </cell>
          <cell r="G32">
            <v>38</v>
          </cell>
          <cell r="H32">
            <v>1.59</v>
          </cell>
          <cell r="I32">
            <v>60.42</v>
          </cell>
          <cell r="J32">
            <v>0.1</v>
          </cell>
        </row>
        <row r="33">
          <cell r="A33" t="str">
            <v>85500-004</v>
          </cell>
          <cell r="B33" t="str">
            <v>U-BOLT</v>
          </cell>
          <cell r="C33" t="str">
            <v>C S</v>
          </cell>
          <cell r="D33" t="str">
            <v>DN25</v>
          </cell>
          <cell r="F33" t="str">
            <v>71730- 25</v>
          </cell>
          <cell r="G33">
            <v>47</v>
          </cell>
          <cell r="H33">
            <v>0.14000000000000001</v>
          </cell>
          <cell r="I33">
            <v>6.58</v>
          </cell>
        </row>
        <row r="35">
          <cell r="A35" t="str">
            <v>XBK</v>
          </cell>
        </row>
        <row r="36">
          <cell r="A36" t="str">
            <v>85500-002</v>
          </cell>
          <cell r="B36" t="str">
            <v>ANCHOR BOLT</v>
          </cell>
          <cell r="C36" t="str">
            <v>C S</v>
          </cell>
          <cell r="D36" t="str">
            <v>M10x80L</v>
          </cell>
          <cell r="F36" t="str">
            <v>71730-150</v>
          </cell>
          <cell r="G36">
            <v>36</v>
          </cell>
          <cell r="H36">
            <v>0.11</v>
          </cell>
          <cell r="I36">
            <v>3.96</v>
          </cell>
        </row>
        <row r="37">
          <cell r="A37" t="str">
            <v>85500-002</v>
          </cell>
          <cell r="B37" t="str">
            <v>CHANNEL</v>
          </cell>
          <cell r="C37" t="str">
            <v>C S</v>
          </cell>
          <cell r="D37" t="str">
            <v>ㄷ100x50x5</v>
          </cell>
          <cell r="E37">
            <v>2700</v>
          </cell>
          <cell r="F37" t="str">
            <v>71730-150</v>
          </cell>
          <cell r="G37">
            <v>4</v>
          </cell>
          <cell r="H37">
            <v>25.27</v>
          </cell>
          <cell r="I37">
            <v>101.08</v>
          </cell>
          <cell r="J37">
            <v>0.05</v>
          </cell>
        </row>
        <row r="38">
          <cell r="A38" t="str">
            <v>85500-002</v>
          </cell>
          <cell r="B38" t="str">
            <v>CHANNEL</v>
          </cell>
          <cell r="C38" t="str">
            <v>C S</v>
          </cell>
          <cell r="D38" t="str">
            <v>ㄷ100x50x5</v>
          </cell>
          <cell r="E38">
            <v>300</v>
          </cell>
          <cell r="F38" t="str">
            <v>71730-150</v>
          </cell>
          <cell r="G38">
            <v>1</v>
          </cell>
          <cell r="H38">
            <v>2.81</v>
          </cell>
          <cell r="I38">
            <v>2.81</v>
          </cell>
          <cell r="J38">
            <v>0.05</v>
          </cell>
        </row>
        <row r="39">
          <cell r="A39" t="str">
            <v>85500-002</v>
          </cell>
          <cell r="B39" t="str">
            <v>H-BEAM</v>
          </cell>
          <cell r="C39" t="str">
            <v>C S</v>
          </cell>
          <cell r="D39" t="str">
            <v>H100X100X6X8</v>
          </cell>
          <cell r="E39">
            <v>2300</v>
          </cell>
          <cell r="F39" t="str">
            <v>71730-150</v>
          </cell>
          <cell r="G39">
            <v>1</v>
          </cell>
          <cell r="H39">
            <v>39.56</v>
          </cell>
          <cell r="I39">
            <v>39.56</v>
          </cell>
          <cell r="J39">
            <v>7.0000000000000007E-2</v>
          </cell>
        </row>
        <row r="40">
          <cell r="A40" t="str">
            <v>85500-008</v>
          </cell>
          <cell r="B40" t="str">
            <v>H-BEAM</v>
          </cell>
          <cell r="C40" t="str">
            <v>C S</v>
          </cell>
          <cell r="D40" t="str">
            <v>H100X100X6X8</v>
          </cell>
          <cell r="E40">
            <v>5900</v>
          </cell>
          <cell r="F40" t="str">
            <v>71730-150</v>
          </cell>
          <cell r="G40">
            <v>4</v>
          </cell>
          <cell r="H40">
            <v>101.48</v>
          </cell>
          <cell r="I40">
            <v>405.92</v>
          </cell>
          <cell r="J40">
            <v>7.0000000000000007E-2</v>
          </cell>
        </row>
        <row r="41">
          <cell r="A41" t="str">
            <v>85500-002</v>
          </cell>
          <cell r="B41" t="str">
            <v>STEEL PLATE</v>
          </cell>
          <cell r="C41" t="str">
            <v>C S</v>
          </cell>
          <cell r="D41" t="str">
            <v>PL150x150x9</v>
          </cell>
          <cell r="F41" t="str">
            <v>71730-150</v>
          </cell>
          <cell r="G41">
            <v>17</v>
          </cell>
          <cell r="H41">
            <v>1.59</v>
          </cell>
          <cell r="I41">
            <v>27.03</v>
          </cell>
          <cell r="J41">
            <v>0.1</v>
          </cell>
        </row>
        <row r="42">
          <cell r="A42" t="str">
            <v>85500-002</v>
          </cell>
          <cell r="B42" t="str">
            <v>U-BOLT</v>
          </cell>
          <cell r="C42" t="str">
            <v>C S</v>
          </cell>
          <cell r="D42" t="str">
            <v>DN150</v>
          </cell>
          <cell r="F42" t="str">
            <v>71730-150</v>
          </cell>
          <cell r="G42">
            <v>17</v>
          </cell>
          <cell r="H42">
            <v>1.1499999999999999</v>
          </cell>
          <cell r="I42">
            <v>19.55</v>
          </cell>
        </row>
        <row r="43">
          <cell r="A43" t="str">
            <v>85500-002</v>
          </cell>
          <cell r="B43" t="str">
            <v>ANCHOR BOLT</v>
          </cell>
          <cell r="C43" t="str">
            <v>C S</v>
          </cell>
          <cell r="D43" t="str">
            <v>M10x80L</v>
          </cell>
          <cell r="F43" t="str">
            <v>71730-125</v>
          </cell>
          <cell r="G43">
            <v>16</v>
          </cell>
          <cell r="H43">
            <v>0.11</v>
          </cell>
          <cell r="I43">
            <v>1.76</v>
          </cell>
        </row>
        <row r="44">
          <cell r="A44" t="str">
            <v>85500-002</v>
          </cell>
          <cell r="B44" t="str">
            <v>CHANNEL</v>
          </cell>
          <cell r="C44" t="str">
            <v>C S</v>
          </cell>
          <cell r="D44" t="str">
            <v>ㄷ100x50x5</v>
          </cell>
          <cell r="E44">
            <v>300</v>
          </cell>
          <cell r="F44" t="str">
            <v>71730-125</v>
          </cell>
          <cell r="G44">
            <v>2</v>
          </cell>
          <cell r="H44">
            <v>2.81</v>
          </cell>
          <cell r="I44">
            <v>5.62</v>
          </cell>
          <cell r="J44">
            <v>0.05</v>
          </cell>
        </row>
        <row r="45">
          <cell r="A45" t="str">
            <v>85500-002</v>
          </cell>
          <cell r="B45" t="str">
            <v>H-BEAM</v>
          </cell>
          <cell r="C45" t="str">
            <v>C S</v>
          </cell>
          <cell r="D45" t="str">
            <v>H100X100X6X8</v>
          </cell>
          <cell r="E45">
            <v>2000</v>
          </cell>
          <cell r="F45" t="str">
            <v>71730-125</v>
          </cell>
          <cell r="G45">
            <v>3</v>
          </cell>
          <cell r="H45">
            <v>34.4</v>
          </cell>
          <cell r="I45">
            <v>103.2</v>
          </cell>
          <cell r="J45">
            <v>7.0000000000000007E-2</v>
          </cell>
        </row>
        <row r="46">
          <cell r="A46" t="str">
            <v>85500-002</v>
          </cell>
          <cell r="B46" t="str">
            <v>PIPE STD WT</v>
          </cell>
          <cell r="C46" t="str">
            <v>C S</v>
          </cell>
          <cell r="D46" t="str">
            <v>DN100</v>
          </cell>
          <cell r="E46">
            <v>2300</v>
          </cell>
          <cell r="F46" t="str">
            <v>71730-125</v>
          </cell>
          <cell r="G46">
            <v>1</v>
          </cell>
          <cell r="H46">
            <v>28.06</v>
          </cell>
          <cell r="I46">
            <v>28.06</v>
          </cell>
          <cell r="J46">
            <v>0.05</v>
          </cell>
        </row>
        <row r="47">
          <cell r="A47" t="str">
            <v>85500-002</v>
          </cell>
          <cell r="B47" t="str">
            <v>PIPE STD WT</v>
          </cell>
          <cell r="C47" t="str">
            <v>C S</v>
          </cell>
          <cell r="D47" t="str">
            <v>DN100</v>
          </cell>
          <cell r="E47">
            <v>2000</v>
          </cell>
          <cell r="F47" t="str">
            <v>71730-125</v>
          </cell>
          <cell r="G47">
            <v>1</v>
          </cell>
          <cell r="H47">
            <v>24.4</v>
          </cell>
          <cell r="I47">
            <v>24.4</v>
          </cell>
          <cell r="J47">
            <v>0.05</v>
          </cell>
        </row>
        <row r="48">
          <cell r="A48" t="str">
            <v>85500-002</v>
          </cell>
          <cell r="B48" t="str">
            <v>STEEL PLATE</v>
          </cell>
          <cell r="C48" t="str">
            <v>C S</v>
          </cell>
          <cell r="D48" t="str">
            <v>PL150x150x9</v>
          </cell>
          <cell r="F48" t="str">
            <v>71730-125</v>
          </cell>
          <cell r="G48">
            <v>4</v>
          </cell>
          <cell r="H48">
            <v>1.59</v>
          </cell>
          <cell r="I48">
            <v>6.36</v>
          </cell>
          <cell r="J48">
            <v>0.1</v>
          </cell>
        </row>
        <row r="49">
          <cell r="A49" t="str">
            <v>85500-002</v>
          </cell>
          <cell r="B49" t="str">
            <v>U-BOLT</v>
          </cell>
          <cell r="C49" t="str">
            <v>C S</v>
          </cell>
          <cell r="D49" t="str">
            <v>DN125</v>
          </cell>
          <cell r="F49" t="str">
            <v>71730-125</v>
          </cell>
          <cell r="G49">
            <v>2</v>
          </cell>
          <cell r="H49">
            <v>1</v>
          </cell>
          <cell r="I49">
            <v>2</v>
          </cell>
        </row>
        <row r="50">
          <cell r="A50" t="str">
            <v>85500-008</v>
          </cell>
          <cell r="B50" t="str">
            <v>H-BEAM</v>
          </cell>
          <cell r="C50" t="str">
            <v>C S</v>
          </cell>
          <cell r="D50" t="str">
            <v>H100X100X6X8</v>
          </cell>
          <cell r="E50">
            <v>5900</v>
          </cell>
          <cell r="F50" t="str">
            <v>71730-100</v>
          </cell>
          <cell r="G50">
            <v>2</v>
          </cell>
          <cell r="H50">
            <v>101.48</v>
          </cell>
          <cell r="I50">
            <v>202.96</v>
          </cell>
          <cell r="J50">
            <v>7.0000000000000007E-2</v>
          </cell>
        </row>
        <row r="51">
          <cell r="A51" t="str">
            <v>85500-008</v>
          </cell>
          <cell r="B51" t="str">
            <v>H-BEAM</v>
          </cell>
          <cell r="C51" t="str">
            <v>C S</v>
          </cell>
          <cell r="D51" t="str">
            <v>H100X100X6X8</v>
          </cell>
          <cell r="E51">
            <v>4280</v>
          </cell>
          <cell r="F51" t="str">
            <v>71730-100</v>
          </cell>
          <cell r="G51">
            <v>1</v>
          </cell>
          <cell r="H51">
            <v>73.62</v>
          </cell>
          <cell r="I51">
            <v>73.62</v>
          </cell>
          <cell r="J51">
            <v>7.0000000000000007E-2</v>
          </cell>
        </row>
        <row r="52">
          <cell r="A52" t="str">
            <v>85500-008</v>
          </cell>
          <cell r="B52" t="str">
            <v>STEEL PLATE</v>
          </cell>
          <cell r="C52" t="str">
            <v>C S</v>
          </cell>
          <cell r="D52" t="str">
            <v>PL150x150x9</v>
          </cell>
          <cell r="F52" t="str">
            <v>71730-100</v>
          </cell>
          <cell r="G52">
            <v>6</v>
          </cell>
          <cell r="H52">
            <v>1.59</v>
          </cell>
          <cell r="I52">
            <v>9.5399999999999991</v>
          </cell>
          <cell r="J52">
            <v>0.1</v>
          </cell>
        </row>
        <row r="53">
          <cell r="A53" t="str">
            <v>85500-008</v>
          </cell>
          <cell r="B53" t="str">
            <v>U-BOLT</v>
          </cell>
          <cell r="C53" t="str">
            <v>C S</v>
          </cell>
          <cell r="D53" t="str">
            <v>DN100</v>
          </cell>
          <cell r="F53" t="str">
            <v>71730-100</v>
          </cell>
          <cell r="G53">
            <v>8</v>
          </cell>
          <cell r="H53">
            <v>0.45</v>
          </cell>
          <cell r="I53">
            <v>3.6</v>
          </cell>
        </row>
      </sheetData>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gy Charge"/>
      <sheetName val="Fixed Charge"/>
      <sheetName val="Reliability Charge"/>
      <sheetName val="Fixed Charge (1)"/>
      <sheetName val="per unit"/>
    </sheetNames>
    <sheetDataSet>
      <sheetData sheetId="0" refreshError="1"/>
      <sheetData sheetId="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F1"/>
      <sheetName val="F2 "/>
      <sheetName val="F3"/>
      <sheetName val="F3.1"/>
      <sheetName val="F3.2"/>
      <sheetName val="F3.3"/>
      <sheetName val="Summary"/>
      <sheetName val="F4"/>
      <sheetName val="F4 ABPS"/>
      <sheetName val="F5"/>
      <sheetName val="Sources of capitalisation"/>
      <sheetName val="Capex Team"/>
      <sheetName val="Add during the year 2010_HOSS"/>
      <sheetName val="HOSS FY11"/>
      <sheetName val="F5.1"/>
      <sheetName val="F5.1 APBS"/>
      <sheetName val="Norm Loans - D ABPS"/>
      <sheetName val="Norm Loans - D"/>
      <sheetName val="F5.2"/>
      <sheetName val="F5.2 ABPS"/>
      <sheetName val="F5.3 D"/>
      <sheetName val="F5.4 D"/>
      <sheetName val="F5.4 D ABPS"/>
      <sheetName val="F8"/>
      <sheetName val="Query No. 10"/>
      <sheetName val="F6"/>
      <sheetName val="F7"/>
      <sheetName val="F9"/>
      <sheetName val="F10"/>
      <sheetName val="F11"/>
      <sheetName val="F12 "/>
      <sheetName val="F11.1"/>
      <sheetName val="F13 "/>
      <sheetName val="F13.1"/>
      <sheetName val="F13.1 C"/>
      <sheetName val="F14"/>
      <sheetName val="F15"/>
      <sheetName val="F16"/>
      <sheetName val="F17"/>
      <sheetName val="F20"/>
    </sheetNames>
    <definedNames>
      <definedName name="___a3" refersTo="#REF!" sheetId="8"/>
      <definedName name="__a3" refersTo="#REF!" sheetId="8"/>
      <definedName name="_a3" refersTo="#REF!" sheetId="8"/>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작성해 볼까요"/>
      <sheetName val="편성내역서"/>
      <sheetName val="실행예산종합"/>
      <sheetName val="예정배부율"/>
      <sheetName val="Sheet9"/>
      <sheetName val="Module1"/>
      <sheetName val="Module2"/>
      <sheetName val="Module3"/>
      <sheetName val="Module4"/>
      <sheetName val="실행예산편성2"/>
      <sheetName val="작성해_볼까요"/>
    </sheetNames>
    <definedNames>
      <definedName name="_xlbgnm.BBQ1"/>
      <definedName name="QQQ"/>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현장배관물량"/>
      <sheetName val="현장배관물량집계"/>
      <sheetName val="현장지지물물량"/>
      <sheetName val="지지물집계"/>
      <sheetName val="현장집계3"/>
      <sheetName val="Sheet1"/>
      <sheetName val="설산1_나"/>
      <sheetName val="본사S"/>
      <sheetName val="설산1.나"/>
    </sheetNames>
    <sheetDataSet>
      <sheetData sheetId="0" refreshError="1"/>
      <sheetData sheetId="1" refreshError="1"/>
      <sheetData sheetId="2" refreshError="1">
        <row r="1">
          <cell r="F1" t="str">
            <v>*********************************</v>
          </cell>
        </row>
        <row r="2">
          <cell r="F2" t="str">
            <v>*****   FIELD FAB. SUPPORT  *****</v>
          </cell>
        </row>
        <row r="3">
          <cell r="F3" t="str">
            <v>*********************************</v>
          </cell>
        </row>
        <row r="4">
          <cell r="A4" t="str">
            <v>=</v>
          </cell>
          <cell r="B4" t="str">
            <v>=</v>
          </cell>
          <cell r="C4" t="str">
            <v>=</v>
          </cell>
          <cell r="D4" t="str">
            <v>=</v>
          </cell>
          <cell r="E4" t="str">
            <v>=</v>
          </cell>
          <cell r="F4" t="str">
            <v>=</v>
          </cell>
          <cell r="G4" t="str">
            <v>=</v>
          </cell>
          <cell r="H4" t="str">
            <v>=</v>
          </cell>
          <cell r="I4" t="str">
            <v>=</v>
          </cell>
          <cell r="J4" t="str">
            <v>=</v>
          </cell>
          <cell r="K4" t="str">
            <v>=</v>
          </cell>
          <cell r="L4" t="str">
            <v>=</v>
          </cell>
          <cell r="M4" t="str">
            <v>=</v>
          </cell>
          <cell r="N4" t="str">
            <v>=</v>
          </cell>
          <cell r="Q4" t="str">
            <v>=</v>
          </cell>
        </row>
        <row r="5">
          <cell r="A5" t="str">
            <v>DWG.NO.</v>
          </cell>
          <cell r="B5" t="str">
            <v>SPEC</v>
          </cell>
          <cell r="C5" t="str">
            <v>ITEM</v>
          </cell>
          <cell r="D5" t="str">
            <v>MATERIAL</v>
          </cell>
          <cell r="E5" t="str">
            <v xml:space="preserve">    SIZE</v>
          </cell>
          <cell r="F5" t="str">
            <v>LANGTH</v>
          </cell>
          <cell r="G5" t="str">
            <v>SYS.-DIA</v>
          </cell>
          <cell r="H5" t="str">
            <v>TOTAL</v>
          </cell>
          <cell r="I5" t="str">
            <v>ELEVATION</v>
          </cell>
          <cell r="K5" t="str">
            <v>IN/OUT</v>
          </cell>
          <cell r="L5" t="str">
            <v>UNIT WT</v>
          </cell>
          <cell r="M5" t="str">
            <v>TOTAL WT</v>
          </cell>
          <cell r="N5" t="str">
            <v>REMARK</v>
          </cell>
          <cell r="P5" t="str">
            <v>SET</v>
          </cell>
          <cell r="Q5" t="str">
            <v>Q'TY</v>
          </cell>
        </row>
        <row r="6">
          <cell r="A6" t="str">
            <v>=</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t="str">
            <v>=</v>
          </cell>
          <cell r="Q6" t="str">
            <v>=</v>
          </cell>
        </row>
        <row r="8">
          <cell r="A8" t="str">
            <v>HBY</v>
          </cell>
        </row>
        <row r="9">
          <cell r="A9" t="str">
            <v>85500-001</v>
          </cell>
          <cell r="C9" t="str">
            <v>CHANNEL</v>
          </cell>
          <cell r="D9" t="str">
            <v>C S</v>
          </cell>
          <cell r="E9" t="str">
            <v>ㄷ100x50x5</v>
          </cell>
          <cell r="F9">
            <v>6100</v>
          </cell>
          <cell r="G9" t="str">
            <v>71730-150</v>
          </cell>
          <cell r="H9">
            <v>1</v>
          </cell>
          <cell r="I9" t="str">
            <v>5900/2200</v>
          </cell>
        </row>
        <row r="10">
          <cell r="A10" t="str">
            <v>85500-001</v>
          </cell>
          <cell r="C10" t="str">
            <v>ANGLE</v>
          </cell>
          <cell r="D10" t="str">
            <v>C S</v>
          </cell>
          <cell r="E10" t="str">
            <v>L50X50X6</v>
          </cell>
          <cell r="F10">
            <v>1800</v>
          </cell>
          <cell r="G10" t="str">
            <v>71730-150</v>
          </cell>
          <cell r="H10">
            <v>1</v>
          </cell>
          <cell r="I10" t="str">
            <v>5900/2200</v>
          </cell>
        </row>
        <row r="11">
          <cell r="A11" t="str">
            <v>85500-001</v>
          </cell>
          <cell r="C11" t="str">
            <v>U-BOLT</v>
          </cell>
          <cell r="D11" t="str">
            <v>C S</v>
          </cell>
          <cell r="E11" t="str">
            <v>DN150</v>
          </cell>
          <cell r="G11" t="str">
            <v>71730-150</v>
          </cell>
          <cell r="H11">
            <v>6</v>
          </cell>
          <cell r="I11" t="str">
            <v>5900/2200</v>
          </cell>
        </row>
        <row r="12">
          <cell r="A12" t="str">
            <v>85500-001</v>
          </cell>
          <cell r="C12" t="str">
            <v>ANCHOR BOLT</v>
          </cell>
          <cell r="D12" t="str">
            <v>C S</v>
          </cell>
          <cell r="E12" t="str">
            <v>M10x80L</v>
          </cell>
          <cell r="G12" t="str">
            <v>71730-150</v>
          </cell>
          <cell r="H12">
            <v>12</v>
          </cell>
          <cell r="I12" t="str">
            <v>5900/2200</v>
          </cell>
        </row>
        <row r="13">
          <cell r="A13" t="str">
            <v>85500-001</v>
          </cell>
          <cell r="C13" t="str">
            <v>STEEL PLATE</v>
          </cell>
          <cell r="D13" t="str">
            <v>C S</v>
          </cell>
          <cell r="E13" t="str">
            <v>PL150x150x9</v>
          </cell>
          <cell r="G13" t="str">
            <v>71730-150</v>
          </cell>
          <cell r="H13">
            <v>3</v>
          </cell>
          <cell r="I13" t="str">
            <v>5900/2200</v>
          </cell>
        </row>
        <row r="15">
          <cell r="A15" t="str">
            <v>85500-001</v>
          </cell>
          <cell r="C15" t="str">
            <v>CHANNEL</v>
          </cell>
          <cell r="D15" t="str">
            <v>C S</v>
          </cell>
          <cell r="E15" t="str">
            <v>ㄷ100x50x5</v>
          </cell>
          <cell r="F15">
            <v>2150</v>
          </cell>
          <cell r="G15" t="str">
            <v>71730-150</v>
          </cell>
          <cell r="H15">
            <v>5</v>
          </cell>
          <cell r="I15" t="str">
            <v>3150/2200</v>
          </cell>
        </row>
        <row r="16">
          <cell r="A16" t="str">
            <v>85500-001</v>
          </cell>
          <cell r="C16" t="str">
            <v>U-BOLT</v>
          </cell>
          <cell r="D16" t="str">
            <v>C S</v>
          </cell>
          <cell r="E16" t="str">
            <v>DN150</v>
          </cell>
          <cell r="G16" t="str">
            <v>71730-150</v>
          </cell>
          <cell r="H16">
            <v>10</v>
          </cell>
          <cell r="I16" t="str">
            <v>3150/2200</v>
          </cell>
        </row>
        <row r="17">
          <cell r="A17" t="str">
            <v>85500-001</v>
          </cell>
          <cell r="C17" t="str">
            <v>ANCHOR BOLT</v>
          </cell>
          <cell r="D17" t="str">
            <v>C S</v>
          </cell>
          <cell r="E17" t="str">
            <v>M10x80L</v>
          </cell>
          <cell r="G17" t="str">
            <v>71730-150</v>
          </cell>
          <cell r="H17">
            <v>40</v>
          </cell>
          <cell r="I17" t="str">
            <v>3150/2200</v>
          </cell>
        </row>
        <row r="18">
          <cell r="A18" t="str">
            <v>85500-001</v>
          </cell>
          <cell r="C18" t="str">
            <v>STEEL PLATE</v>
          </cell>
          <cell r="D18" t="str">
            <v>C S</v>
          </cell>
          <cell r="E18" t="str">
            <v>PL150x150x9</v>
          </cell>
          <cell r="G18" t="str">
            <v>71730-150</v>
          </cell>
          <cell r="H18">
            <v>10</v>
          </cell>
          <cell r="I18" t="str">
            <v>3150/2200</v>
          </cell>
        </row>
        <row r="20">
          <cell r="A20" t="str">
            <v>85500-001</v>
          </cell>
          <cell r="C20" t="str">
            <v>CHANNEL</v>
          </cell>
          <cell r="D20" t="str">
            <v>C S</v>
          </cell>
          <cell r="E20" t="str">
            <v>ㄷ100x50x5</v>
          </cell>
          <cell r="F20">
            <v>1900</v>
          </cell>
          <cell r="G20" t="str">
            <v>71730-150</v>
          </cell>
          <cell r="H20">
            <v>3</v>
          </cell>
          <cell r="I20" t="str">
            <v>3150/2200</v>
          </cell>
        </row>
        <row r="21">
          <cell r="A21" t="str">
            <v>85500-001</v>
          </cell>
          <cell r="C21" t="str">
            <v>U-BOLT</v>
          </cell>
          <cell r="D21" t="str">
            <v>C S</v>
          </cell>
          <cell r="E21" t="str">
            <v>DN150</v>
          </cell>
          <cell r="G21" t="str">
            <v>71730-150</v>
          </cell>
          <cell r="H21">
            <v>6</v>
          </cell>
          <cell r="I21" t="str">
            <v>3150/2200</v>
          </cell>
        </row>
        <row r="22">
          <cell r="A22" t="str">
            <v>85500-001</v>
          </cell>
          <cell r="C22" t="str">
            <v>ANCHOR BOLT</v>
          </cell>
          <cell r="D22" t="str">
            <v>C S</v>
          </cell>
          <cell r="E22" t="str">
            <v>M10x80L</v>
          </cell>
          <cell r="G22" t="str">
            <v>71730-150</v>
          </cell>
          <cell r="H22">
            <v>12</v>
          </cell>
          <cell r="I22" t="str">
            <v>3150/2200</v>
          </cell>
        </row>
        <row r="23">
          <cell r="A23" t="str">
            <v>85500-001</v>
          </cell>
          <cell r="C23" t="str">
            <v>STEEL PLATE</v>
          </cell>
          <cell r="D23" t="str">
            <v>C S</v>
          </cell>
          <cell r="E23" t="str">
            <v>PL150x150x9</v>
          </cell>
          <cell r="G23" t="str">
            <v>71730-150</v>
          </cell>
          <cell r="H23">
            <v>3</v>
          </cell>
          <cell r="I23" t="str">
            <v>3150/2200</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상반기손익차2총괄"/>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input"/>
      <sheetName val="Daily report"/>
      <sheetName val="OCM2"/>
      <sheetName val="OCM4"/>
      <sheetName val="OCM1"/>
      <sheetName val="OCM3"/>
      <sheetName val="OCM5"/>
      <sheetName val="OCM7"/>
      <sheetName val="INDEX"/>
      <sheetName val="OCM6"/>
      <sheetName val="highlight"/>
      <sheetName val="water"/>
      <sheetName val="AWARD"/>
      <sheetName val="CE"/>
      <sheetName val="hrawd"/>
      <sheetName val="2000-01"/>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ontent"/>
      <sheetName val="Project Outline"/>
      <sheetName val="주요공사"/>
      <sheetName val="Contractual Amount"/>
      <sheetName val="시헹예산"/>
      <sheetName val="TENDER vs BUDGET"/>
      <sheetName val="직영 vs 하청 - 2"/>
      <sheetName val="96 당초Schedule"/>
      <sheetName val="96 Performance"/>
      <sheetName val="소화-투입 분석표"/>
      <sheetName val="STF ORG(K)"/>
      <sheetName val="Staff Org. Chart"/>
      <sheetName val="Scope of Work"/>
      <sheetName val="Design Status"/>
      <sheetName val="DWG Status"/>
      <sheetName val="MAT'L Status"/>
      <sheetName val="장비동원"/>
      <sheetName val="근로자동원"/>
      <sheetName val="Install Status"/>
      <sheetName val="Staff Mob. Plan"/>
      <sheetName val="M.P Mob. Plan"/>
      <sheetName val="Eq. Mobilization"/>
      <sheetName val="Cover_Sheet"/>
      <sheetName val="Project_Outline"/>
      <sheetName val="Contractual_Amount"/>
      <sheetName val="TENDER_vs_BUDGET"/>
      <sheetName val="직영_vs_하청_-_2"/>
      <sheetName val="96_당초Schedule"/>
      <sheetName val="96_Performance"/>
      <sheetName val="소화-투입_분석표"/>
      <sheetName val="STF_ORG(K)"/>
      <sheetName val="Staff_Org__Chart"/>
      <sheetName val="Scope_of_Work"/>
      <sheetName val="Design_Status"/>
      <sheetName val="DWG_Status"/>
      <sheetName val="MAT'L_Status"/>
      <sheetName val="Install_Status"/>
      <sheetName val="Staff_Mob__Plan"/>
      <sheetName val="M_P_Mob__Plan"/>
      <sheetName val="Eq__Mobiliz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input"/>
      <sheetName val="Daily report"/>
      <sheetName val="OCM2"/>
      <sheetName val="OCM4"/>
      <sheetName val="OCM1"/>
      <sheetName val="OCM3"/>
      <sheetName val="OCM5"/>
      <sheetName val="OCM7"/>
      <sheetName val="INDEX"/>
      <sheetName val="OCM6"/>
      <sheetName val="highlight"/>
      <sheetName val="water"/>
      <sheetName val="AWARD"/>
      <sheetName val="CE"/>
      <sheetName val="hrawd"/>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
      <sheetName val="I"/>
      <sheetName val="I(B)"/>
      <sheetName val="loss"/>
      <sheetName val="en-pur"/>
      <sheetName val="en-pur-cum"/>
      <sheetName val="Amt-cum"/>
      <sheetName val="1998-99"/>
      <sheetName val="I(B) (2)"/>
      <sheetName val="Amt-cum 98-99"/>
      <sheetName val="dtls"/>
      <sheetName val="1997-98"/>
      <sheetName val="1996-97"/>
      <sheetName val="5-inter"/>
      <sheetName val="5-inter -cum"/>
      <sheetName val="ins spares"/>
      <sheetName val="Input_Sheet"/>
      <sheetName val="Financial Estimates"/>
      <sheetName val="OT-Common (DB)"/>
      <sheetName val="OT-Common (Cr)"/>
      <sheetName val="OT-Discom(DB)"/>
      <sheetName val="OT-Discom(C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현장설계분"/>
      <sheetName val="본사설계분"/>
      <sheetName val="가설배관"/>
      <sheetName val="본사S"/>
      <sheetName val="현장S"/>
      <sheetName val="C1"/>
      <sheetName val="C2"/>
      <sheetName val="공계"/>
      <sheetName val="C3"/>
      <sheetName val="공설"/>
      <sheetName val="C4"/>
      <sheetName val="C5"/>
      <sheetName val="도면"/>
      <sheetName val="C6"/>
      <sheetName val="공정표"/>
      <sheetName val="C7"/>
      <sheetName val="예"/>
      <sheetName val="C8"/>
      <sheetName val="명"/>
      <sheetName val="C9"/>
      <sheetName val="내1가"/>
      <sheetName val="내1다"/>
      <sheetName val="설내"/>
      <sheetName val="소내"/>
      <sheetName val="내2"/>
      <sheetName val="C10"/>
      <sheetName val="품1"/>
      <sheetName val="품2"/>
      <sheetName val="품3"/>
      <sheetName val="설품"/>
      <sheetName val="소품"/>
      <sheetName val="C11"/>
      <sheetName val="산1"/>
      <sheetName val="산2.가.1"/>
      <sheetName val="산2.가.2"/>
      <sheetName val="산2.나"/>
      <sheetName val="설산1.가"/>
      <sheetName val="설산1.나"/>
      <sheetName val="설산2"/>
      <sheetName val="소산1.가"/>
      <sheetName val="소산1.나"/>
      <sheetName val="소산2"/>
      <sheetName val="산3"/>
      <sheetName val="산4"/>
      <sheetName val="산5"/>
      <sheetName val="산6"/>
      <sheetName val="산7"/>
      <sheetName val="산8"/>
      <sheetName val="산9"/>
      <sheetName val="산10"/>
      <sheetName val="산11"/>
      <sheetName val="C12"/>
      <sheetName val="산2_가_1"/>
      <sheetName val="산2_가_2"/>
      <sheetName val="산2_나"/>
      <sheetName val="설산1_가"/>
      <sheetName val="설산1_나"/>
      <sheetName val="소산1_가"/>
      <sheetName val="소산1_나"/>
      <sheetName val="자바라1"/>
      <sheetName val="#REF"/>
    </sheetNames>
    <sheetDataSet>
      <sheetData sheetId="0" refreshError="1"/>
      <sheetData sheetId="1" refreshError="1"/>
      <sheetData sheetId="2" refreshError="1"/>
      <sheetData sheetId="3" refreshError="1">
        <row r="10">
          <cell r="B10" t="str">
            <v>03980-028</v>
          </cell>
          <cell r="C10" t="str">
            <v>U-BOLT</v>
          </cell>
          <cell r="D10" t="str">
            <v>C S</v>
          </cell>
          <cell r="E10" t="str">
            <v>DN150</v>
          </cell>
          <cell r="G10" t="str">
            <v>16100-150</v>
          </cell>
          <cell r="H10">
            <v>4</v>
          </cell>
          <cell r="K10">
            <v>0.75800000000000001</v>
          </cell>
          <cell r="L10">
            <v>3.032</v>
          </cell>
          <cell r="M10">
            <v>760</v>
          </cell>
          <cell r="N10">
            <v>3040</v>
          </cell>
          <cell r="O10" t="str">
            <v>물정 '98.11.p78</v>
          </cell>
        </row>
        <row r="11">
          <cell r="B11" t="str">
            <v>03980-042</v>
          </cell>
          <cell r="C11" t="str">
            <v>STUD BOLT</v>
          </cell>
          <cell r="D11" t="str">
            <v>C S</v>
          </cell>
          <cell r="E11" t="str">
            <v>M15x60L</v>
          </cell>
          <cell r="G11" t="str">
            <v>16100-150</v>
          </cell>
          <cell r="H11">
            <v>24</v>
          </cell>
          <cell r="K11">
            <v>0.2</v>
          </cell>
          <cell r="L11">
            <v>4.8</v>
          </cell>
          <cell r="M11">
            <v>137</v>
          </cell>
          <cell r="N11">
            <v>3288</v>
          </cell>
          <cell r="O11" t="str">
            <v>물정 '98.11 p.74</v>
          </cell>
        </row>
        <row r="12">
          <cell r="B12" t="str">
            <v>03980-043</v>
          </cell>
          <cell r="C12" t="str">
            <v>PLATE</v>
          </cell>
          <cell r="D12" t="str">
            <v>C S</v>
          </cell>
          <cell r="E12" t="str">
            <v>PL200x38x12t</v>
          </cell>
          <cell r="G12" t="str">
            <v>16100-150</v>
          </cell>
          <cell r="H12">
            <v>4</v>
          </cell>
          <cell r="K12">
            <v>0.71599999999999997</v>
          </cell>
          <cell r="L12">
            <v>2.8639999999999999</v>
          </cell>
          <cell r="M12">
            <v>289</v>
          </cell>
          <cell r="N12">
            <v>1156</v>
          </cell>
          <cell r="O12" t="str">
            <v>물정 '98.11 p.50</v>
          </cell>
        </row>
        <row r="13">
          <cell r="B13" t="str">
            <v>03980-035</v>
          </cell>
          <cell r="C13" t="str">
            <v>PLATE</v>
          </cell>
          <cell r="D13" t="str">
            <v>C S</v>
          </cell>
          <cell r="E13" t="str">
            <v>PL200x200x12t</v>
          </cell>
          <cell r="G13" t="str">
            <v>16100-150</v>
          </cell>
          <cell r="H13">
            <v>7</v>
          </cell>
          <cell r="K13">
            <v>3.7679999999999998</v>
          </cell>
          <cell r="L13">
            <v>26.376000000000001</v>
          </cell>
          <cell r="M13">
            <v>1526</v>
          </cell>
          <cell r="N13">
            <v>10682</v>
          </cell>
          <cell r="O13" t="str">
            <v>물정 '98.11 p.50</v>
          </cell>
        </row>
        <row r="14">
          <cell r="B14" t="str">
            <v>03980-042</v>
          </cell>
          <cell r="C14" t="str">
            <v>PLATE</v>
          </cell>
          <cell r="D14" t="str">
            <v>C S</v>
          </cell>
          <cell r="E14" t="str">
            <v>PL150x150x9t</v>
          </cell>
          <cell r="G14" t="str">
            <v>16100-150</v>
          </cell>
          <cell r="H14">
            <v>2</v>
          </cell>
          <cell r="K14">
            <v>1.59</v>
          </cell>
          <cell r="L14">
            <v>3.18</v>
          </cell>
          <cell r="M14">
            <v>659</v>
          </cell>
          <cell r="N14">
            <v>1318</v>
          </cell>
          <cell r="O14" t="str">
            <v>물정 '98.11 p.50</v>
          </cell>
        </row>
        <row r="15">
          <cell r="B15" t="str">
            <v>03980-042</v>
          </cell>
          <cell r="C15" t="str">
            <v>PIPE STD WT</v>
          </cell>
          <cell r="D15" t="str">
            <v>C S</v>
          </cell>
          <cell r="E15" t="str">
            <v>DN100</v>
          </cell>
          <cell r="F15">
            <v>143</v>
          </cell>
          <cell r="G15" t="str">
            <v>16100-150</v>
          </cell>
          <cell r="H15">
            <v>2</v>
          </cell>
          <cell r="K15">
            <v>2.2999999999999998</v>
          </cell>
          <cell r="L15">
            <v>4.5999999999999996</v>
          </cell>
          <cell r="M15">
            <v>1301.443</v>
          </cell>
          <cell r="N15">
            <v>2602</v>
          </cell>
          <cell r="O15" t="str">
            <v>물자 '98.11 p.476</v>
          </cell>
        </row>
        <row r="16">
          <cell r="B16" t="str">
            <v>03980-028</v>
          </cell>
          <cell r="C16" t="str">
            <v>H-BEAM</v>
          </cell>
          <cell r="D16" t="str">
            <v>C S</v>
          </cell>
          <cell r="E16" t="str">
            <v>H100x100x6x8</v>
          </cell>
          <cell r="F16">
            <v>1385</v>
          </cell>
          <cell r="G16" t="str">
            <v>16100-150</v>
          </cell>
          <cell r="H16">
            <v>1</v>
          </cell>
          <cell r="K16">
            <v>23.821999999999999</v>
          </cell>
          <cell r="L16">
            <v>23.821999999999999</v>
          </cell>
          <cell r="M16">
            <v>11553</v>
          </cell>
          <cell r="N16">
            <v>11553</v>
          </cell>
          <cell r="O16" t="str">
            <v>물정 '98.11 p.47</v>
          </cell>
        </row>
        <row r="17">
          <cell r="B17" t="str">
            <v>03980-029</v>
          </cell>
          <cell r="C17" t="str">
            <v>H-BEAM</v>
          </cell>
          <cell r="D17" t="str">
            <v>C S</v>
          </cell>
          <cell r="E17" t="str">
            <v>H100x100x6x8</v>
          </cell>
          <cell r="F17">
            <v>1780</v>
          </cell>
          <cell r="G17" t="str">
            <v>16100-150</v>
          </cell>
          <cell r="H17">
            <v>1</v>
          </cell>
          <cell r="K17">
            <v>30.616</v>
          </cell>
          <cell r="L17">
            <v>30.616</v>
          </cell>
          <cell r="M17">
            <v>14848</v>
          </cell>
          <cell r="N17">
            <v>14848</v>
          </cell>
          <cell r="O17" t="str">
            <v>물정 '98.11 p.47</v>
          </cell>
        </row>
        <row r="18">
          <cell r="B18" t="str">
            <v>03980-035</v>
          </cell>
          <cell r="C18" t="str">
            <v>H-BEAM</v>
          </cell>
          <cell r="D18" t="str">
            <v>C S</v>
          </cell>
          <cell r="E18" t="str">
            <v>H100x100x6x8</v>
          </cell>
          <cell r="F18">
            <v>462</v>
          </cell>
          <cell r="G18" t="str">
            <v>16100-150</v>
          </cell>
          <cell r="H18">
            <v>1</v>
          </cell>
          <cell r="K18">
            <v>7.9470000000000001</v>
          </cell>
          <cell r="L18">
            <v>7.9470000000000001</v>
          </cell>
          <cell r="M18">
            <v>3854</v>
          </cell>
          <cell r="N18">
            <v>3854</v>
          </cell>
          <cell r="O18" t="str">
            <v>물정 '98.11 p.47</v>
          </cell>
        </row>
        <row r="19">
          <cell r="B19" t="str">
            <v>03980-028</v>
          </cell>
          <cell r="C19" t="str">
            <v>CLIP ANGLE</v>
          </cell>
          <cell r="D19" t="str">
            <v>C S</v>
          </cell>
          <cell r="E19" t="str">
            <v>L75x75x9</v>
          </cell>
          <cell r="F19">
            <v>50</v>
          </cell>
          <cell r="G19" t="str">
            <v>16100-150</v>
          </cell>
          <cell r="H19">
            <v>4</v>
          </cell>
          <cell r="K19">
            <v>0.498</v>
          </cell>
          <cell r="L19">
            <v>1.992</v>
          </cell>
          <cell r="M19">
            <v>196</v>
          </cell>
          <cell r="N19">
            <v>784</v>
          </cell>
          <cell r="O19" t="str">
            <v>물정 '98.11 p.45</v>
          </cell>
        </row>
        <row r="20">
          <cell r="B20" t="str">
            <v>03980-042</v>
          </cell>
          <cell r="C20" t="str">
            <v>CHANNEL</v>
          </cell>
          <cell r="D20" t="str">
            <v>C S</v>
          </cell>
          <cell r="E20" t="str">
            <v>C100x50x5x7.5</v>
          </cell>
          <cell r="F20">
            <v>628</v>
          </cell>
          <cell r="G20" t="str">
            <v>16100-150</v>
          </cell>
          <cell r="H20">
            <v>6</v>
          </cell>
          <cell r="K20">
            <v>5.8780000000000001</v>
          </cell>
          <cell r="L20">
            <v>35.268000000000001</v>
          </cell>
          <cell r="M20">
            <v>2468</v>
          </cell>
          <cell r="N20">
            <v>14808</v>
          </cell>
          <cell r="O20" t="str">
            <v>물정 '98.11 p.46</v>
          </cell>
        </row>
        <row r="21">
          <cell r="B21" t="str">
            <v>03980-042</v>
          </cell>
          <cell r="C21" t="str">
            <v>CHANNEL</v>
          </cell>
          <cell r="D21" t="str">
            <v>C S</v>
          </cell>
          <cell r="E21" t="str">
            <v>C100x50x5x7.5</v>
          </cell>
          <cell r="F21">
            <v>250</v>
          </cell>
          <cell r="G21" t="str">
            <v>16100-150</v>
          </cell>
          <cell r="H21">
            <v>6</v>
          </cell>
          <cell r="K21">
            <v>2.34</v>
          </cell>
          <cell r="L21">
            <v>14.04</v>
          </cell>
          <cell r="M21">
            <v>982</v>
          </cell>
          <cell r="N21">
            <v>5892</v>
          </cell>
          <cell r="O21" t="str">
            <v>물정 '98.11 p.46</v>
          </cell>
        </row>
        <row r="22">
          <cell r="B22" t="str">
            <v>03980-035</v>
          </cell>
          <cell r="C22" t="str">
            <v>ANGLE</v>
          </cell>
          <cell r="D22" t="str">
            <v>C S</v>
          </cell>
          <cell r="E22" t="str">
            <v>L75x75x9</v>
          </cell>
          <cell r="F22">
            <v>330</v>
          </cell>
          <cell r="G22" t="str">
            <v>16100-150</v>
          </cell>
          <cell r="H22">
            <v>1</v>
          </cell>
          <cell r="K22">
            <v>3.2869999999999999</v>
          </cell>
          <cell r="L22">
            <v>3.2869999999999999</v>
          </cell>
          <cell r="M22">
            <v>1295</v>
          </cell>
          <cell r="N22">
            <v>1295</v>
          </cell>
          <cell r="O22" t="str">
            <v>물정 '98.11 p.45</v>
          </cell>
        </row>
        <row r="23">
          <cell r="B23" t="str">
            <v>03980-044</v>
          </cell>
          <cell r="C23" t="str">
            <v>ANGLE</v>
          </cell>
          <cell r="D23" t="str">
            <v>C S</v>
          </cell>
          <cell r="E23" t="str">
            <v>L100x100x10</v>
          </cell>
          <cell r="F23">
            <v>280</v>
          </cell>
          <cell r="G23" t="str">
            <v>16100-150</v>
          </cell>
          <cell r="H23">
            <v>3</v>
          </cell>
          <cell r="K23">
            <v>4.1719999999999997</v>
          </cell>
          <cell r="L23">
            <v>12.516</v>
          </cell>
          <cell r="M23">
            <v>1756</v>
          </cell>
          <cell r="N23">
            <v>5268</v>
          </cell>
          <cell r="O23" t="str">
            <v>물정 '98.11 p.45</v>
          </cell>
        </row>
        <row r="24">
          <cell r="B24" t="str">
            <v>03980-044</v>
          </cell>
          <cell r="C24" t="str">
            <v>ANGLE</v>
          </cell>
          <cell r="D24" t="str">
            <v>C S</v>
          </cell>
          <cell r="E24" t="str">
            <v>L100x100x10</v>
          </cell>
          <cell r="F24">
            <v>250</v>
          </cell>
          <cell r="G24" t="str">
            <v>16100-150</v>
          </cell>
          <cell r="H24">
            <v>2</v>
          </cell>
          <cell r="K24">
            <v>3.7250000000000001</v>
          </cell>
          <cell r="L24">
            <v>7.45</v>
          </cell>
          <cell r="M24">
            <v>1568</v>
          </cell>
          <cell r="N24">
            <v>3136</v>
          </cell>
          <cell r="O24" t="str">
            <v>물정 '98.11 p.45</v>
          </cell>
        </row>
        <row r="25">
          <cell r="B25" t="str">
            <v>03980-045</v>
          </cell>
          <cell r="C25" t="str">
            <v>ANGLE</v>
          </cell>
          <cell r="D25" t="str">
            <v>C S</v>
          </cell>
          <cell r="E25" t="str">
            <v>L100x100x10</v>
          </cell>
          <cell r="F25">
            <v>535</v>
          </cell>
          <cell r="G25" t="str">
            <v>16100-150</v>
          </cell>
          <cell r="H25">
            <v>1</v>
          </cell>
          <cell r="K25">
            <v>7.9720000000000004</v>
          </cell>
          <cell r="L25">
            <v>7.9720000000000004</v>
          </cell>
          <cell r="M25">
            <v>3356</v>
          </cell>
          <cell r="N25">
            <v>3356</v>
          </cell>
          <cell r="O25" t="str">
            <v>물정 '98.11 p.45</v>
          </cell>
        </row>
        <row r="26">
          <cell r="B26" t="str">
            <v>03980-035</v>
          </cell>
          <cell r="C26" t="str">
            <v>ANCHOR BOLT</v>
          </cell>
          <cell r="D26" t="str">
            <v>C S</v>
          </cell>
          <cell r="E26" t="str">
            <v>M16x177L</v>
          </cell>
          <cell r="G26" t="str">
            <v>16100-150</v>
          </cell>
          <cell r="H26">
            <v>4</v>
          </cell>
          <cell r="K26">
            <v>0.34699999999999998</v>
          </cell>
          <cell r="L26">
            <v>1.3879999999999999</v>
          </cell>
          <cell r="M26">
            <v>1660</v>
          </cell>
          <cell r="N26">
            <v>6640</v>
          </cell>
          <cell r="O26" t="str">
            <v>견적가</v>
          </cell>
        </row>
        <row r="27">
          <cell r="B27" t="str">
            <v>03980-028</v>
          </cell>
          <cell r="C27" t="str">
            <v>U-BOLT</v>
          </cell>
          <cell r="D27" t="str">
            <v>C S</v>
          </cell>
          <cell r="E27" t="str">
            <v>DN100</v>
          </cell>
          <cell r="G27" t="str">
            <v>16100-100</v>
          </cell>
          <cell r="H27">
            <v>4</v>
          </cell>
          <cell r="K27">
            <v>0.54900000000000004</v>
          </cell>
          <cell r="L27">
            <v>2.1960000000000002</v>
          </cell>
          <cell r="M27">
            <v>510</v>
          </cell>
          <cell r="N27">
            <v>2040</v>
          </cell>
          <cell r="O27" t="str">
            <v>물정 '98.11.p78</v>
          </cell>
        </row>
        <row r="28">
          <cell r="B28" t="str">
            <v>03980-040</v>
          </cell>
          <cell r="C28" t="str">
            <v>STUD BOLT</v>
          </cell>
          <cell r="D28" t="str">
            <v>C S</v>
          </cell>
          <cell r="E28" t="str">
            <v>M15x60L</v>
          </cell>
          <cell r="G28" t="str">
            <v>16100-100</v>
          </cell>
          <cell r="H28">
            <v>12</v>
          </cell>
          <cell r="K28">
            <v>0.2</v>
          </cell>
          <cell r="L28">
            <v>2.4</v>
          </cell>
          <cell r="M28">
            <v>137</v>
          </cell>
          <cell r="N28">
            <v>1644</v>
          </cell>
          <cell r="O28" t="str">
            <v>물정 '98.11 p.74</v>
          </cell>
        </row>
        <row r="29">
          <cell r="B29" t="str">
            <v>03980-040</v>
          </cell>
          <cell r="C29" t="str">
            <v>PLATE</v>
          </cell>
          <cell r="D29" t="str">
            <v>C S</v>
          </cell>
          <cell r="E29" t="str">
            <v>PL200x200x12t</v>
          </cell>
          <cell r="G29" t="str">
            <v>16100-100</v>
          </cell>
          <cell r="H29">
            <v>3</v>
          </cell>
          <cell r="K29">
            <v>3.7679999999999998</v>
          </cell>
          <cell r="L29">
            <v>11.304</v>
          </cell>
          <cell r="M29">
            <v>1526</v>
          </cell>
          <cell r="N29">
            <v>4578</v>
          </cell>
          <cell r="O29" t="str">
            <v>물정 '98.11 p.50</v>
          </cell>
        </row>
        <row r="30">
          <cell r="B30" t="str">
            <v>03980-040</v>
          </cell>
          <cell r="C30" t="str">
            <v>PLATE</v>
          </cell>
          <cell r="D30" t="str">
            <v>C S</v>
          </cell>
          <cell r="E30" t="str">
            <v>PL180x150x12t</v>
          </cell>
          <cell r="G30" t="str">
            <v>16100-100</v>
          </cell>
          <cell r="H30">
            <v>3</v>
          </cell>
          <cell r="K30">
            <v>2.5430000000000001</v>
          </cell>
          <cell r="L30">
            <v>7.6289999999999996</v>
          </cell>
          <cell r="M30">
            <v>1029</v>
          </cell>
          <cell r="N30">
            <v>3087</v>
          </cell>
          <cell r="O30" t="str">
            <v>물정 '98.11 p.50</v>
          </cell>
        </row>
        <row r="31">
          <cell r="B31" t="str">
            <v>03980-040</v>
          </cell>
          <cell r="C31" t="str">
            <v>LUG PLATE</v>
          </cell>
          <cell r="D31" t="str">
            <v>S S</v>
          </cell>
          <cell r="E31" t="str">
            <v>PL100x50x12t</v>
          </cell>
          <cell r="G31" t="str">
            <v>16100-100</v>
          </cell>
          <cell r="H31">
            <v>2</v>
          </cell>
          <cell r="K31">
            <v>0.47099999999999997</v>
          </cell>
          <cell r="L31">
            <v>0.94199999999999995</v>
          </cell>
          <cell r="M31">
            <v>190</v>
          </cell>
          <cell r="N31">
            <v>380</v>
          </cell>
          <cell r="O31" t="str">
            <v>물정 '98.11 p.50</v>
          </cell>
        </row>
        <row r="32">
          <cell r="B32" t="str">
            <v>03980-027</v>
          </cell>
          <cell r="C32" t="str">
            <v>H-BEAM</v>
          </cell>
          <cell r="D32" t="str">
            <v>C S</v>
          </cell>
          <cell r="E32" t="str">
            <v>H100x100x6x8</v>
          </cell>
          <cell r="F32">
            <v>1385</v>
          </cell>
          <cell r="G32" t="str">
            <v>16100-100</v>
          </cell>
          <cell r="H32">
            <v>1</v>
          </cell>
          <cell r="K32">
            <v>23.821999999999999</v>
          </cell>
          <cell r="L32">
            <v>23.821999999999999</v>
          </cell>
          <cell r="M32">
            <v>11553</v>
          </cell>
          <cell r="N32">
            <v>11553</v>
          </cell>
          <cell r="O32" t="str">
            <v>물정 '98.11 p.47</v>
          </cell>
        </row>
        <row r="33">
          <cell r="B33" t="str">
            <v>03980-027</v>
          </cell>
          <cell r="C33" t="str">
            <v>CLIP ANGLE</v>
          </cell>
          <cell r="D33" t="str">
            <v>C S</v>
          </cell>
          <cell r="E33" t="str">
            <v>L75x75x9</v>
          </cell>
          <cell r="F33">
            <v>50</v>
          </cell>
          <cell r="G33" t="str">
            <v>16100-100</v>
          </cell>
          <cell r="H33">
            <v>2</v>
          </cell>
          <cell r="K33">
            <v>0.498</v>
          </cell>
          <cell r="L33">
            <v>0.996</v>
          </cell>
          <cell r="M33">
            <v>196</v>
          </cell>
          <cell r="N33">
            <v>392</v>
          </cell>
          <cell r="O33" t="str">
            <v>물정 '98.11 p.45</v>
          </cell>
        </row>
        <row r="34">
          <cell r="B34" t="str">
            <v>03980-040</v>
          </cell>
          <cell r="C34" t="str">
            <v>ANGLE</v>
          </cell>
          <cell r="D34" t="str">
            <v>C S</v>
          </cell>
          <cell r="E34" t="str">
            <v>L75x75x9</v>
          </cell>
          <cell r="F34">
            <v>252</v>
          </cell>
          <cell r="G34" t="str">
            <v>16100-100</v>
          </cell>
          <cell r="H34">
            <v>3</v>
          </cell>
          <cell r="K34">
            <v>2.5099999999999998</v>
          </cell>
          <cell r="L34">
            <v>7.53</v>
          </cell>
          <cell r="M34">
            <v>988</v>
          </cell>
          <cell r="N34">
            <v>2964</v>
          </cell>
          <cell r="O34" t="str">
            <v>물정 '98.11 p.45</v>
          </cell>
        </row>
        <row r="36">
          <cell r="B36" t="str">
            <v>03980-024</v>
          </cell>
          <cell r="C36" t="str">
            <v>U-BOLT</v>
          </cell>
          <cell r="D36" t="str">
            <v>C S</v>
          </cell>
          <cell r="E36" t="str">
            <v>DN150</v>
          </cell>
          <cell r="G36" t="str">
            <v>16200-150</v>
          </cell>
          <cell r="H36">
            <v>13</v>
          </cell>
          <cell r="K36">
            <v>0.75800000000000001</v>
          </cell>
          <cell r="L36">
            <v>9.8539999999999992</v>
          </cell>
          <cell r="M36">
            <v>2200</v>
          </cell>
          <cell r="N36">
            <v>28600</v>
          </cell>
          <cell r="O36" t="str">
            <v>물정 '98.11.p78</v>
          </cell>
        </row>
        <row r="37">
          <cell r="B37" t="str">
            <v>03980-024</v>
          </cell>
          <cell r="C37" t="str">
            <v>H-BEAM</v>
          </cell>
          <cell r="D37" t="str">
            <v>C S</v>
          </cell>
          <cell r="E37" t="str">
            <v>H100x100x6x8</v>
          </cell>
          <cell r="F37">
            <v>1385</v>
          </cell>
          <cell r="G37" t="str">
            <v>16200-150</v>
          </cell>
          <cell r="H37">
            <v>27</v>
          </cell>
          <cell r="K37">
            <v>23.821999999999999</v>
          </cell>
          <cell r="L37">
            <v>643.19399999999996</v>
          </cell>
          <cell r="M37">
            <v>11553</v>
          </cell>
          <cell r="N37">
            <v>311931</v>
          </cell>
          <cell r="O37" t="str">
            <v>물정 '98.11 p.47</v>
          </cell>
        </row>
        <row r="38">
          <cell r="B38" t="str">
            <v>03980-024</v>
          </cell>
          <cell r="C38" t="str">
            <v>CLIP ANGLE</v>
          </cell>
          <cell r="D38" t="str">
            <v>C S</v>
          </cell>
          <cell r="E38" t="str">
            <v>L75x75x9</v>
          </cell>
          <cell r="F38">
            <v>50</v>
          </cell>
          <cell r="G38" t="str">
            <v>16200-150</v>
          </cell>
          <cell r="H38">
            <v>54</v>
          </cell>
          <cell r="K38">
            <v>0.498</v>
          </cell>
          <cell r="L38">
            <v>26.891999999999999</v>
          </cell>
          <cell r="M38">
            <v>196</v>
          </cell>
          <cell r="N38">
            <v>10584</v>
          </cell>
          <cell r="O38" t="str">
            <v>물정 '98.11 p.45</v>
          </cell>
        </row>
        <row r="39">
          <cell r="B39" t="str">
            <v>03980-046</v>
          </cell>
          <cell r="C39" t="str">
            <v>ANGLE</v>
          </cell>
          <cell r="D39" t="str">
            <v>C S</v>
          </cell>
          <cell r="E39" t="str">
            <v>L100x100x10</v>
          </cell>
          <cell r="F39">
            <v>700</v>
          </cell>
          <cell r="G39" t="str">
            <v>16200-150</v>
          </cell>
          <cell r="H39">
            <v>5</v>
          </cell>
          <cell r="K39">
            <v>10.43</v>
          </cell>
          <cell r="L39">
            <v>52.15</v>
          </cell>
          <cell r="M39">
            <v>4391</v>
          </cell>
          <cell r="N39">
            <v>21955</v>
          </cell>
          <cell r="O39" t="str">
            <v>물정 '98.11 p.45</v>
          </cell>
        </row>
        <row r="40">
          <cell r="B40" t="str">
            <v>03980-026</v>
          </cell>
          <cell r="C40" t="str">
            <v>U-BOLT</v>
          </cell>
          <cell r="D40" t="str">
            <v>C S</v>
          </cell>
          <cell r="E40" t="str">
            <v>DN100</v>
          </cell>
          <cell r="G40" t="str">
            <v>16200-100</v>
          </cell>
          <cell r="H40">
            <v>16</v>
          </cell>
          <cell r="K40">
            <v>0.54900000000000004</v>
          </cell>
          <cell r="L40">
            <v>8.7840000000000007</v>
          </cell>
          <cell r="M40">
            <v>900</v>
          </cell>
          <cell r="N40">
            <v>14400</v>
          </cell>
          <cell r="O40" t="str">
            <v>물정 '98.11.p78</v>
          </cell>
        </row>
        <row r="41">
          <cell r="B41" t="str">
            <v>03980-026</v>
          </cell>
          <cell r="C41" t="str">
            <v>H-BEAM</v>
          </cell>
          <cell r="D41" t="str">
            <v>C S</v>
          </cell>
          <cell r="E41" t="str">
            <v>H100x100x6x8</v>
          </cell>
          <cell r="F41">
            <v>1385</v>
          </cell>
          <cell r="G41" t="str">
            <v>16200-100</v>
          </cell>
          <cell r="H41">
            <v>3</v>
          </cell>
          <cell r="K41">
            <v>23.821999999999999</v>
          </cell>
          <cell r="L41">
            <v>71.465999999999994</v>
          </cell>
          <cell r="M41">
            <v>11553</v>
          </cell>
          <cell r="N41">
            <v>34659</v>
          </cell>
          <cell r="O41" t="str">
            <v>물정 '98.11 p.47</v>
          </cell>
        </row>
        <row r="42">
          <cell r="B42" t="str">
            <v>03980-026</v>
          </cell>
          <cell r="C42" t="str">
            <v>CLIP ANGLE</v>
          </cell>
          <cell r="D42" t="str">
            <v>C S</v>
          </cell>
          <cell r="E42" t="str">
            <v>L75x75x9</v>
          </cell>
          <cell r="F42">
            <v>50</v>
          </cell>
          <cell r="G42" t="str">
            <v>16200-100</v>
          </cell>
          <cell r="H42">
            <v>6</v>
          </cell>
          <cell r="K42">
            <v>0.498</v>
          </cell>
          <cell r="L42">
            <v>2.988</v>
          </cell>
          <cell r="M42">
            <v>196</v>
          </cell>
          <cell r="N42">
            <v>1176</v>
          </cell>
          <cell r="O42" t="str">
            <v>물정 '98.11 p.45</v>
          </cell>
        </row>
        <row r="43">
          <cell r="B43" t="str">
            <v>03980-031</v>
          </cell>
          <cell r="C43" t="str">
            <v>H-BEAM</v>
          </cell>
          <cell r="D43" t="str">
            <v>C S</v>
          </cell>
          <cell r="E43" t="str">
            <v>H100x100x6x8</v>
          </cell>
          <cell r="F43">
            <v>700</v>
          </cell>
          <cell r="G43" t="str">
            <v>16200-100</v>
          </cell>
          <cell r="H43">
            <v>1</v>
          </cell>
          <cell r="K43">
            <v>12.04</v>
          </cell>
          <cell r="L43">
            <v>12.04</v>
          </cell>
          <cell r="M43">
            <v>5839</v>
          </cell>
          <cell r="N43">
            <v>5839</v>
          </cell>
          <cell r="O43" t="str">
            <v>물정 '98.11 p.47</v>
          </cell>
        </row>
        <row r="44">
          <cell r="B44" t="str">
            <v>03980-051</v>
          </cell>
          <cell r="C44" t="str">
            <v>ANGLE</v>
          </cell>
          <cell r="D44" t="str">
            <v>C S</v>
          </cell>
          <cell r="E44" t="str">
            <v>L75x75x9</v>
          </cell>
          <cell r="F44">
            <v>160</v>
          </cell>
          <cell r="G44" t="str">
            <v>16200-100</v>
          </cell>
          <cell r="H44">
            <v>3</v>
          </cell>
          <cell r="K44">
            <v>1.5940000000000001</v>
          </cell>
          <cell r="L44">
            <v>4.782</v>
          </cell>
          <cell r="M44">
            <v>628</v>
          </cell>
          <cell r="N44">
            <v>1884</v>
          </cell>
          <cell r="O44" t="str">
            <v>물정 '98.11 p.45</v>
          </cell>
        </row>
        <row r="45">
          <cell r="B45" t="str">
            <v>03980-052</v>
          </cell>
          <cell r="C45" t="str">
            <v>ANGLE</v>
          </cell>
          <cell r="D45" t="str">
            <v>C S</v>
          </cell>
          <cell r="E45" t="str">
            <v>L75x75x9</v>
          </cell>
          <cell r="F45">
            <v>460</v>
          </cell>
          <cell r="G45" t="str">
            <v>16200-100</v>
          </cell>
          <cell r="H45">
            <v>2</v>
          </cell>
          <cell r="K45">
            <v>4.5819999999999999</v>
          </cell>
          <cell r="L45">
            <v>9.1639999999999997</v>
          </cell>
          <cell r="M45">
            <v>1805</v>
          </cell>
          <cell r="N45">
            <v>3610</v>
          </cell>
          <cell r="O45" t="str">
            <v>물정 '98.11 p.45</v>
          </cell>
        </row>
        <row r="46">
          <cell r="B46" t="str">
            <v>03980-053</v>
          </cell>
          <cell r="C46" t="str">
            <v>STUD BOLT</v>
          </cell>
          <cell r="D46" t="str">
            <v>C S</v>
          </cell>
          <cell r="E46" t="str">
            <v>M15x60L</v>
          </cell>
          <cell r="G46" t="str">
            <v>16200-100</v>
          </cell>
          <cell r="H46">
            <v>16</v>
          </cell>
          <cell r="K46">
            <v>0.2</v>
          </cell>
          <cell r="L46">
            <v>3.2</v>
          </cell>
          <cell r="M46">
            <v>137</v>
          </cell>
          <cell r="N46">
            <v>2192</v>
          </cell>
          <cell r="O46" t="str">
            <v>물정 '98.11 p.74</v>
          </cell>
        </row>
        <row r="47">
          <cell r="B47" t="str">
            <v>03980-053</v>
          </cell>
          <cell r="C47" t="str">
            <v>PLATE</v>
          </cell>
          <cell r="D47" t="str">
            <v>C S</v>
          </cell>
          <cell r="E47" t="str">
            <v>PL200x200x12t</v>
          </cell>
          <cell r="G47" t="str">
            <v>16200-100</v>
          </cell>
          <cell r="H47">
            <v>4</v>
          </cell>
          <cell r="K47">
            <v>3.7679999999999998</v>
          </cell>
          <cell r="L47">
            <v>15.071999999999999</v>
          </cell>
          <cell r="M47">
            <v>1526</v>
          </cell>
          <cell r="N47">
            <v>6104</v>
          </cell>
          <cell r="O47" t="str">
            <v>물정 '98.11 p.50</v>
          </cell>
        </row>
        <row r="48">
          <cell r="B48" t="str">
            <v>03980-053</v>
          </cell>
          <cell r="C48" t="str">
            <v>PLATE</v>
          </cell>
          <cell r="D48" t="str">
            <v>C S</v>
          </cell>
          <cell r="E48" t="str">
            <v>PL200x150x12t</v>
          </cell>
          <cell r="G48" t="str">
            <v>16200-100</v>
          </cell>
          <cell r="H48">
            <v>4</v>
          </cell>
          <cell r="K48">
            <v>2.8260000000000001</v>
          </cell>
          <cell r="L48">
            <v>11.304</v>
          </cell>
          <cell r="M48">
            <v>1144</v>
          </cell>
          <cell r="N48">
            <v>4576</v>
          </cell>
          <cell r="O48" t="str">
            <v>물정 '98.11 p.50</v>
          </cell>
        </row>
        <row r="49">
          <cell r="B49" t="str">
            <v>03980-053</v>
          </cell>
          <cell r="C49" t="str">
            <v>LUG PLATE</v>
          </cell>
          <cell r="D49" t="str">
            <v>S S</v>
          </cell>
          <cell r="E49" t="str">
            <v>PL100x50x12t</v>
          </cell>
          <cell r="G49" t="str">
            <v>16200-100</v>
          </cell>
          <cell r="H49">
            <v>4</v>
          </cell>
          <cell r="K49">
            <v>0.47099999999999997</v>
          </cell>
          <cell r="L49">
            <v>1.8839999999999999</v>
          </cell>
          <cell r="M49">
            <v>190</v>
          </cell>
          <cell r="N49">
            <v>760</v>
          </cell>
          <cell r="O49" t="str">
            <v>물정 '98.11 p.50</v>
          </cell>
        </row>
        <row r="50">
          <cell r="B50" t="str">
            <v>03980-053</v>
          </cell>
          <cell r="C50" t="str">
            <v>ANGLE</v>
          </cell>
          <cell r="D50" t="str">
            <v>C S</v>
          </cell>
          <cell r="E50" t="str">
            <v>L75x75x9</v>
          </cell>
          <cell r="F50">
            <v>248</v>
          </cell>
          <cell r="G50" t="str">
            <v>16200-100</v>
          </cell>
          <cell r="H50">
            <v>4</v>
          </cell>
          <cell r="K50">
            <v>2.4710000000000001</v>
          </cell>
          <cell r="L50">
            <v>9.8840000000000003</v>
          </cell>
          <cell r="M50">
            <v>973</v>
          </cell>
          <cell r="N50">
            <v>3892</v>
          </cell>
          <cell r="O50" t="str">
            <v>물정 '98.11 p.45</v>
          </cell>
        </row>
        <row r="51">
          <cell r="B51" t="str">
            <v>03980-024</v>
          </cell>
          <cell r="C51" t="str">
            <v>U-BOLT</v>
          </cell>
          <cell r="D51" t="str">
            <v>C S</v>
          </cell>
          <cell r="E51" t="str">
            <v>DN 80</v>
          </cell>
          <cell r="G51" t="str">
            <v>16200- 80</v>
          </cell>
          <cell r="H51">
            <v>10</v>
          </cell>
          <cell r="K51">
            <v>0.25900000000000001</v>
          </cell>
          <cell r="L51">
            <v>2.59</v>
          </cell>
          <cell r="M51">
            <v>770</v>
          </cell>
          <cell r="N51">
            <v>7700</v>
          </cell>
          <cell r="O51" t="str">
            <v>물정 '98.11.p78</v>
          </cell>
        </row>
        <row r="52">
          <cell r="B52" t="str">
            <v>03980-033</v>
          </cell>
          <cell r="C52" t="str">
            <v>WEL'D BEAM ATTACH.</v>
          </cell>
          <cell r="D52" t="str">
            <v>C S</v>
          </cell>
          <cell r="E52" t="str">
            <v>M12</v>
          </cell>
          <cell r="G52" t="str">
            <v>16200- 80</v>
          </cell>
          <cell r="H52">
            <v>1</v>
          </cell>
          <cell r="K52">
            <v>0.59</v>
          </cell>
          <cell r="L52">
            <v>0.59</v>
          </cell>
          <cell r="M52">
            <v>4800</v>
          </cell>
          <cell r="N52">
            <v>4800</v>
          </cell>
          <cell r="O52" t="str">
            <v>견적가</v>
          </cell>
        </row>
        <row r="53">
          <cell r="B53" t="str">
            <v>03980-033</v>
          </cell>
          <cell r="C53" t="str">
            <v>THR'D ROD</v>
          </cell>
          <cell r="D53" t="str">
            <v>C S</v>
          </cell>
          <cell r="E53" t="str">
            <v>M12</v>
          </cell>
          <cell r="F53">
            <v>360</v>
          </cell>
          <cell r="G53" t="str">
            <v>16200- 80</v>
          </cell>
          <cell r="H53">
            <v>1</v>
          </cell>
          <cell r="K53">
            <v>0.28499999999999998</v>
          </cell>
          <cell r="L53">
            <v>0.28499999999999998</v>
          </cell>
          <cell r="M53">
            <v>3430</v>
          </cell>
          <cell r="N53">
            <v>3430</v>
          </cell>
          <cell r="O53" t="str">
            <v>견적가</v>
          </cell>
        </row>
        <row r="54">
          <cell r="B54" t="str">
            <v>03980-033</v>
          </cell>
          <cell r="C54" t="str">
            <v>PLATE</v>
          </cell>
          <cell r="D54" t="str">
            <v>C S</v>
          </cell>
          <cell r="E54" t="str">
            <v>PL200x200x12t</v>
          </cell>
          <cell r="G54" t="str">
            <v>16200- 80</v>
          </cell>
          <cell r="H54">
            <v>1</v>
          </cell>
          <cell r="K54">
            <v>3.7679999999999998</v>
          </cell>
          <cell r="L54">
            <v>3.7679999999999998</v>
          </cell>
          <cell r="M54">
            <v>1526</v>
          </cell>
          <cell r="N54">
            <v>1526</v>
          </cell>
          <cell r="O54" t="str">
            <v>물정 '98.11 p.50</v>
          </cell>
        </row>
        <row r="55">
          <cell r="B55" t="str">
            <v>03980-033</v>
          </cell>
          <cell r="C55" t="str">
            <v>EYE NUT</v>
          </cell>
          <cell r="D55" t="str">
            <v>C S</v>
          </cell>
          <cell r="E55" t="str">
            <v>M12</v>
          </cell>
          <cell r="G55" t="str">
            <v>16200- 80</v>
          </cell>
          <cell r="H55">
            <v>2</v>
          </cell>
          <cell r="K55">
            <v>0.28999999999999998</v>
          </cell>
          <cell r="L55">
            <v>0.57999999999999996</v>
          </cell>
          <cell r="M55">
            <v>1600</v>
          </cell>
          <cell r="N55">
            <v>3200</v>
          </cell>
          <cell r="O55" t="str">
            <v>견적가</v>
          </cell>
        </row>
        <row r="56">
          <cell r="B56" t="str">
            <v>03980-033</v>
          </cell>
          <cell r="C56" t="str">
            <v>CHANNEL</v>
          </cell>
          <cell r="D56" t="str">
            <v>C S</v>
          </cell>
          <cell r="E56" t="str">
            <v>C100x50x5x7.5</v>
          </cell>
          <cell r="F56">
            <v>500</v>
          </cell>
          <cell r="G56" t="str">
            <v>16200- 80</v>
          </cell>
          <cell r="H56">
            <v>1</v>
          </cell>
          <cell r="K56">
            <v>4.68</v>
          </cell>
          <cell r="L56">
            <v>4.68</v>
          </cell>
          <cell r="M56">
            <v>1965</v>
          </cell>
          <cell r="N56">
            <v>1965</v>
          </cell>
          <cell r="O56" t="str">
            <v>물정 '98.11 p.46</v>
          </cell>
        </row>
        <row r="57">
          <cell r="B57" t="str">
            <v>03980-033</v>
          </cell>
          <cell r="C57" t="str">
            <v>ANCHOR BOLT</v>
          </cell>
          <cell r="D57" t="str">
            <v>C S</v>
          </cell>
          <cell r="E57" t="str">
            <v>M12x155L</v>
          </cell>
          <cell r="G57" t="str">
            <v>16200- 80</v>
          </cell>
          <cell r="H57">
            <v>4</v>
          </cell>
          <cell r="K57">
            <v>0.124</v>
          </cell>
          <cell r="L57">
            <v>0.496</v>
          </cell>
          <cell r="M57">
            <v>1480</v>
          </cell>
          <cell r="N57">
            <v>5920</v>
          </cell>
          <cell r="O57" t="str">
            <v>견적가</v>
          </cell>
        </row>
        <row r="58">
          <cell r="B58" t="str">
            <v>03980-033</v>
          </cell>
          <cell r="C58" t="str">
            <v>3-BOLT PIPE CLAMP</v>
          </cell>
          <cell r="D58" t="str">
            <v>C S</v>
          </cell>
          <cell r="E58" t="str">
            <v>DN 80</v>
          </cell>
          <cell r="G58" t="str">
            <v>16200- 80</v>
          </cell>
          <cell r="H58">
            <v>1</v>
          </cell>
          <cell r="K58">
            <v>1.36</v>
          </cell>
          <cell r="L58">
            <v>1.36</v>
          </cell>
          <cell r="M58">
            <v>10000</v>
          </cell>
          <cell r="N58">
            <v>10000</v>
          </cell>
          <cell r="O58" t="str">
            <v>견적가</v>
          </cell>
        </row>
        <row r="60">
          <cell r="B60" t="str">
            <v>03980-026</v>
          </cell>
          <cell r="C60" t="str">
            <v>U-BOLT</v>
          </cell>
          <cell r="D60" t="str">
            <v>C S</v>
          </cell>
          <cell r="E60" t="str">
            <v>DN100</v>
          </cell>
          <cell r="G60" t="str">
            <v>16320-100</v>
          </cell>
          <cell r="H60">
            <v>3</v>
          </cell>
          <cell r="K60">
            <v>0.54900000000000004</v>
          </cell>
          <cell r="L60">
            <v>1.647</v>
          </cell>
          <cell r="M60">
            <v>510</v>
          </cell>
          <cell r="N60">
            <v>1530</v>
          </cell>
          <cell r="O60" t="str">
            <v>물정 '98.11.p78</v>
          </cell>
        </row>
        <row r="61">
          <cell r="B61" t="str">
            <v>03980-032</v>
          </cell>
          <cell r="C61" t="str">
            <v>PLATE</v>
          </cell>
          <cell r="D61" t="str">
            <v>C S</v>
          </cell>
          <cell r="E61" t="str">
            <v>PL200x200x12t</v>
          </cell>
          <cell r="G61" t="str">
            <v>16320-100</v>
          </cell>
          <cell r="H61">
            <v>2</v>
          </cell>
          <cell r="K61">
            <v>3.7679999999999998</v>
          </cell>
          <cell r="L61">
            <v>7.5359999999999996</v>
          </cell>
          <cell r="M61">
            <v>1526</v>
          </cell>
          <cell r="N61">
            <v>3052</v>
          </cell>
          <cell r="O61" t="str">
            <v>물정 '98.11 p.50</v>
          </cell>
        </row>
        <row r="62">
          <cell r="B62" t="str">
            <v>03980-025</v>
          </cell>
          <cell r="C62" t="str">
            <v>H-BEAM</v>
          </cell>
          <cell r="D62" t="str">
            <v>C S</v>
          </cell>
          <cell r="E62" t="str">
            <v>H100x100x6x8</v>
          </cell>
          <cell r="F62">
            <v>1385</v>
          </cell>
          <cell r="G62" t="str">
            <v>16320-100</v>
          </cell>
          <cell r="H62">
            <v>1</v>
          </cell>
          <cell r="K62">
            <v>23.821999999999999</v>
          </cell>
          <cell r="L62">
            <v>23.821999999999999</v>
          </cell>
          <cell r="M62">
            <v>11553</v>
          </cell>
          <cell r="N62">
            <v>11553</v>
          </cell>
          <cell r="O62" t="str">
            <v>물정 '98.11 p.47</v>
          </cell>
        </row>
        <row r="63">
          <cell r="B63" t="str">
            <v>03980-025</v>
          </cell>
          <cell r="C63" t="str">
            <v>CLIP ANGLE</v>
          </cell>
          <cell r="D63" t="str">
            <v>C S</v>
          </cell>
          <cell r="E63" t="str">
            <v>L75x75x9</v>
          </cell>
          <cell r="F63">
            <v>50</v>
          </cell>
          <cell r="G63" t="str">
            <v>16320-100</v>
          </cell>
          <cell r="H63">
            <v>2</v>
          </cell>
          <cell r="K63">
            <v>0.498</v>
          </cell>
          <cell r="L63">
            <v>0.996</v>
          </cell>
          <cell r="M63">
            <v>196</v>
          </cell>
          <cell r="N63">
            <v>392</v>
          </cell>
          <cell r="O63" t="str">
            <v>물정 '98.11 p.45</v>
          </cell>
        </row>
        <row r="64">
          <cell r="B64" t="str">
            <v>03980-032</v>
          </cell>
          <cell r="C64" t="str">
            <v>ANGLE</v>
          </cell>
          <cell r="D64" t="str">
            <v>C S</v>
          </cell>
          <cell r="E64" t="str">
            <v>L75x75x9</v>
          </cell>
          <cell r="F64">
            <v>527</v>
          </cell>
          <cell r="G64" t="str">
            <v>16320-100</v>
          </cell>
          <cell r="H64">
            <v>1</v>
          </cell>
          <cell r="K64">
            <v>5.2489999999999997</v>
          </cell>
          <cell r="L64">
            <v>5.2489999999999997</v>
          </cell>
          <cell r="M64">
            <v>2068</v>
          </cell>
          <cell r="N64">
            <v>2068</v>
          </cell>
          <cell r="O64" t="str">
            <v>물정 '98.11 p.45</v>
          </cell>
        </row>
        <row r="65">
          <cell r="B65" t="str">
            <v>03980-034</v>
          </cell>
          <cell r="C65" t="str">
            <v>ANGLE</v>
          </cell>
          <cell r="D65" t="str">
            <v>C S</v>
          </cell>
          <cell r="E65" t="str">
            <v>L75x75x9</v>
          </cell>
          <cell r="F65">
            <v>514</v>
          </cell>
          <cell r="G65" t="str">
            <v>16320-100</v>
          </cell>
          <cell r="H65">
            <v>1</v>
          </cell>
          <cell r="K65">
            <v>5.12</v>
          </cell>
          <cell r="L65">
            <v>5.12</v>
          </cell>
          <cell r="M65">
            <v>2017</v>
          </cell>
          <cell r="N65">
            <v>2017</v>
          </cell>
          <cell r="O65" t="str">
            <v>물정 '98.11 p.45</v>
          </cell>
        </row>
        <row r="66">
          <cell r="B66" t="str">
            <v>03980-032</v>
          </cell>
          <cell r="C66" t="str">
            <v>ANCHOR BOLT</v>
          </cell>
          <cell r="D66" t="str">
            <v>C S</v>
          </cell>
          <cell r="E66" t="str">
            <v>M12x155L</v>
          </cell>
          <cell r="G66" t="str">
            <v>16320-100</v>
          </cell>
          <cell r="H66">
            <v>8</v>
          </cell>
          <cell r="K66">
            <v>0.124</v>
          </cell>
          <cell r="L66">
            <v>0.99199999999999999</v>
          </cell>
          <cell r="M66">
            <v>1480</v>
          </cell>
          <cell r="N66">
            <v>11840</v>
          </cell>
          <cell r="O66" t="str">
            <v>견적가</v>
          </cell>
        </row>
        <row r="67">
          <cell r="B67" t="str">
            <v>03980-036</v>
          </cell>
          <cell r="C67" t="str">
            <v>WEL'D BEAM ATTACH.</v>
          </cell>
          <cell r="D67" t="str">
            <v>C S</v>
          </cell>
          <cell r="E67" t="str">
            <v>M12</v>
          </cell>
          <cell r="G67" t="str">
            <v>16320- 80</v>
          </cell>
          <cell r="H67">
            <v>1</v>
          </cell>
          <cell r="K67">
            <v>0.59</v>
          </cell>
          <cell r="L67">
            <v>0.59</v>
          </cell>
          <cell r="M67">
            <v>4800</v>
          </cell>
          <cell r="N67">
            <v>4800</v>
          </cell>
          <cell r="O67" t="str">
            <v>견적가</v>
          </cell>
        </row>
        <row r="68">
          <cell r="B68" t="str">
            <v>03980-037</v>
          </cell>
          <cell r="C68" t="str">
            <v>U-BOLT</v>
          </cell>
          <cell r="D68" t="str">
            <v>C S</v>
          </cell>
          <cell r="E68" t="str">
            <v>DN 80</v>
          </cell>
          <cell r="G68" t="str">
            <v>16320- 80</v>
          </cell>
          <cell r="H68">
            <v>11</v>
          </cell>
          <cell r="K68">
            <v>0.25900000000000001</v>
          </cell>
          <cell r="L68">
            <v>2.8490000000000002</v>
          </cell>
          <cell r="M68">
            <v>220</v>
          </cell>
          <cell r="N68">
            <v>2420</v>
          </cell>
          <cell r="O68" t="str">
            <v>물정 '98.11.p78</v>
          </cell>
        </row>
        <row r="69">
          <cell r="B69" t="str">
            <v>03980-036</v>
          </cell>
          <cell r="C69" t="str">
            <v>THR'D ROD</v>
          </cell>
          <cell r="D69" t="str">
            <v>C S</v>
          </cell>
          <cell r="E69" t="str">
            <v>M12</v>
          </cell>
          <cell r="F69">
            <v>1161</v>
          </cell>
          <cell r="G69" t="str">
            <v>16320- 80</v>
          </cell>
          <cell r="H69">
            <v>1</v>
          </cell>
          <cell r="K69">
            <v>0.91700000000000004</v>
          </cell>
          <cell r="L69">
            <v>0.91700000000000004</v>
          </cell>
          <cell r="M69">
            <v>3630</v>
          </cell>
          <cell r="N69">
            <v>3630</v>
          </cell>
          <cell r="O69" t="str">
            <v>견적가</v>
          </cell>
        </row>
        <row r="70">
          <cell r="B70" t="str">
            <v>03980-037</v>
          </cell>
          <cell r="C70" t="str">
            <v>PLATE</v>
          </cell>
          <cell r="D70" t="str">
            <v>C S</v>
          </cell>
          <cell r="E70" t="str">
            <v>PL200x200x12t</v>
          </cell>
          <cell r="G70" t="str">
            <v>16320- 80</v>
          </cell>
          <cell r="H70">
            <v>3</v>
          </cell>
          <cell r="K70">
            <v>3.7679999999999998</v>
          </cell>
          <cell r="L70">
            <v>11.304</v>
          </cell>
          <cell r="M70">
            <v>1526</v>
          </cell>
          <cell r="N70">
            <v>4578</v>
          </cell>
          <cell r="O70" t="str">
            <v>물정 '98.11 p.50</v>
          </cell>
        </row>
        <row r="71">
          <cell r="B71" t="str">
            <v>03980-037</v>
          </cell>
          <cell r="C71" t="str">
            <v>H-BEAM</v>
          </cell>
          <cell r="D71" t="str">
            <v>C S</v>
          </cell>
          <cell r="E71" t="str">
            <v>H100x100x6x8</v>
          </cell>
          <cell r="F71">
            <v>284</v>
          </cell>
          <cell r="G71" t="str">
            <v>16320- 80</v>
          </cell>
          <cell r="H71">
            <v>1</v>
          </cell>
          <cell r="K71">
            <v>4.8849999999999998</v>
          </cell>
          <cell r="L71">
            <v>4.8849999999999998</v>
          </cell>
          <cell r="M71">
            <v>2369</v>
          </cell>
          <cell r="N71">
            <v>2369</v>
          </cell>
          <cell r="O71" t="str">
            <v>물정 '98.11 p.47</v>
          </cell>
        </row>
        <row r="72">
          <cell r="B72" t="str">
            <v>03980-036</v>
          </cell>
          <cell r="C72" t="str">
            <v>EYE NUT</v>
          </cell>
          <cell r="D72" t="str">
            <v>C S</v>
          </cell>
          <cell r="E72" t="str">
            <v>M12</v>
          </cell>
          <cell r="G72" t="str">
            <v>16320- 80</v>
          </cell>
          <cell r="H72">
            <v>2</v>
          </cell>
          <cell r="K72">
            <v>0.28999999999999998</v>
          </cell>
          <cell r="L72">
            <v>0.57999999999999996</v>
          </cell>
          <cell r="M72">
            <v>1600</v>
          </cell>
          <cell r="N72">
            <v>3200</v>
          </cell>
          <cell r="O72" t="str">
            <v>견적가</v>
          </cell>
        </row>
        <row r="73">
          <cell r="B73" t="str">
            <v>03980-036</v>
          </cell>
          <cell r="C73" t="str">
            <v>CHANNEL</v>
          </cell>
          <cell r="D73" t="str">
            <v>C S</v>
          </cell>
          <cell r="E73" t="str">
            <v>C100x50x5x7.5</v>
          </cell>
          <cell r="F73">
            <v>450</v>
          </cell>
          <cell r="G73" t="str">
            <v>16320- 80</v>
          </cell>
          <cell r="H73">
            <v>1</v>
          </cell>
          <cell r="K73">
            <v>4.2119999999999997</v>
          </cell>
          <cell r="L73">
            <v>4.2119999999999997</v>
          </cell>
          <cell r="M73">
            <v>1769</v>
          </cell>
          <cell r="N73">
            <v>1769</v>
          </cell>
          <cell r="O73" t="str">
            <v>물정 '98.11 p.46</v>
          </cell>
        </row>
        <row r="74">
          <cell r="B74" t="str">
            <v>03980-037</v>
          </cell>
          <cell r="C74" t="str">
            <v>ANGLE</v>
          </cell>
          <cell r="D74" t="str">
            <v>C S</v>
          </cell>
          <cell r="E74" t="str">
            <v>L75x75x9</v>
          </cell>
          <cell r="F74">
            <v>225</v>
          </cell>
          <cell r="G74" t="str">
            <v>16320- 80</v>
          </cell>
          <cell r="H74">
            <v>1</v>
          </cell>
          <cell r="K74">
            <v>2.2410000000000001</v>
          </cell>
          <cell r="L74">
            <v>2.2410000000000001</v>
          </cell>
          <cell r="M74">
            <v>882</v>
          </cell>
          <cell r="N74">
            <v>882</v>
          </cell>
          <cell r="O74" t="str">
            <v>물정 '98.11 p.45</v>
          </cell>
        </row>
        <row r="75">
          <cell r="B75" t="str">
            <v>03980-038</v>
          </cell>
          <cell r="C75" t="str">
            <v>ANGLE</v>
          </cell>
          <cell r="D75" t="str">
            <v>C S</v>
          </cell>
          <cell r="E75" t="str">
            <v>L75x75x9</v>
          </cell>
          <cell r="F75">
            <v>284</v>
          </cell>
          <cell r="G75" t="str">
            <v>16320- 80</v>
          </cell>
          <cell r="H75">
            <v>2</v>
          </cell>
          <cell r="K75">
            <v>2.8290000000000002</v>
          </cell>
          <cell r="L75">
            <v>5.6580000000000004</v>
          </cell>
          <cell r="M75">
            <v>1114</v>
          </cell>
          <cell r="N75">
            <v>2228</v>
          </cell>
          <cell r="O75" t="str">
            <v>물정 '98.11 p.45</v>
          </cell>
        </row>
        <row r="76">
          <cell r="B76" t="str">
            <v>03980-060</v>
          </cell>
          <cell r="C76" t="str">
            <v>ANGLE</v>
          </cell>
          <cell r="D76" t="str">
            <v>C S</v>
          </cell>
          <cell r="E76" t="str">
            <v>L75x75x9</v>
          </cell>
          <cell r="F76">
            <v>430</v>
          </cell>
          <cell r="G76" t="str">
            <v>16320- 80</v>
          </cell>
          <cell r="H76">
            <v>1</v>
          </cell>
          <cell r="K76">
            <v>4.2830000000000004</v>
          </cell>
          <cell r="L76">
            <v>4.2830000000000004</v>
          </cell>
          <cell r="M76">
            <v>1687</v>
          </cell>
          <cell r="N76">
            <v>1687</v>
          </cell>
          <cell r="O76" t="str">
            <v>물정 '98.11 p.45</v>
          </cell>
        </row>
        <row r="77">
          <cell r="B77" t="str">
            <v>03980-037</v>
          </cell>
          <cell r="C77" t="str">
            <v>ANCHOR BOLT</v>
          </cell>
          <cell r="D77" t="str">
            <v>C S</v>
          </cell>
          <cell r="E77" t="str">
            <v>M12x155L</v>
          </cell>
          <cell r="G77" t="str">
            <v>16320- 80</v>
          </cell>
          <cell r="H77">
            <v>8</v>
          </cell>
          <cell r="K77">
            <v>0.124</v>
          </cell>
          <cell r="L77">
            <v>0.99199999999999999</v>
          </cell>
          <cell r="M77">
            <v>1480</v>
          </cell>
          <cell r="N77">
            <v>11840</v>
          </cell>
          <cell r="O77" t="str">
            <v>견적가</v>
          </cell>
        </row>
        <row r="78">
          <cell r="B78" t="str">
            <v>03980-036</v>
          </cell>
          <cell r="C78" t="str">
            <v>3-BOLT PIPE CLAMP</v>
          </cell>
          <cell r="D78" t="str">
            <v>C S</v>
          </cell>
          <cell r="E78" t="str">
            <v>DN 80</v>
          </cell>
          <cell r="G78" t="str">
            <v>16320- 80</v>
          </cell>
          <cell r="H78">
            <v>1</v>
          </cell>
          <cell r="K78">
            <v>1.36</v>
          </cell>
          <cell r="L78">
            <v>1.36</v>
          </cell>
          <cell r="M78">
            <v>10000</v>
          </cell>
          <cell r="N78">
            <v>10000</v>
          </cell>
          <cell r="O78" t="str">
            <v>견적가</v>
          </cell>
        </row>
        <row r="80">
          <cell r="B80" t="str">
            <v>03980-072</v>
          </cell>
          <cell r="C80" t="str">
            <v>PLATE</v>
          </cell>
          <cell r="D80" t="str">
            <v>C S</v>
          </cell>
          <cell r="E80" t="str">
            <v>PL300x300x15t</v>
          </cell>
          <cell r="G80" t="str">
            <v>22100-200</v>
          </cell>
          <cell r="H80">
            <v>2</v>
          </cell>
          <cell r="K80">
            <v>10.602</v>
          </cell>
          <cell r="L80">
            <v>21.204000000000001</v>
          </cell>
          <cell r="M80">
            <v>4293</v>
          </cell>
          <cell r="N80">
            <v>8586</v>
          </cell>
          <cell r="O80" t="str">
            <v>물정 '98.11 p.50</v>
          </cell>
        </row>
        <row r="81">
          <cell r="B81" t="str">
            <v>03980-072</v>
          </cell>
          <cell r="C81" t="str">
            <v>PLATE</v>
          </cell>
          <cell r="D81" t="str">
            <v>C S</v>
          </cell>
          <cell r="E81" t="str">
            <v>PL107x70x9t</v>
          </cell>
          <cell r="G81" t="str">
            <v>22100-200</v>
          </cell>
          <cell r="H81">
            <v>8</v>
          </cell>
          <cell r="K81">
            <v>0.52900000000000003</v>
          </cell>
          <cell r="L81">
            <v>4.2320000000000002</v>
          </cell>
          <cell r="M81">
            <v>219</v>
          </cell>
          <cell r="N81">
            <v>1752</v>
          </cell>
          <cell r="O81" t="str">
            <v>물정 '98.11 p.50</v>
          </cell>
        </row>
        <row r="82">
          <cell r="B82" t="str">
            <v>03980-077</v>
          </cell>
          <cell r="C82" t="str">
            <v>H-BEAM</v>
          </cell>
          <cell r="D82" t="str">
            <v>C S</v>
          </cell>
          <cell r="E82" t="str">
            <v>H150x150x7x9</v>
          </cell>
          <cell r="F82">
            <v>3300</v>
          </cell>
          <cell r="G82" t="str">
            <v>22100-200</v>
          </cell>
          <cell r="H82">
            <v>1</v>
          </cell>
          <cell r="K82">
            <v>103.95</v>
          </cell>
          <cell r="L82">
            <v>103.95</v>
          </cell>
          <cell r="M82">
            <v>50415</v>
          </cell>
          <cell r="N82">
            <v>50415</v>
          </cell>
          <cell r="O82" t="str">
            <v>물정 '98.11 p.47</v>
          </cell>
        </row>
        <row r="83">
          <cell r="B83" t="str">
            <v>03980-077</v>
          </cell>
          <cell r="C83" t="str">
            <v>H-BEAM</v>
          </cell>
          <cell r="D83" t="str">
            <v>C S</v>
          </cell>
          <cell r="E83" t="str">
            <v>H150x150x7x9</v>
          </cell>
          <cell r="F83">
            <v>535</v>
          </cell>
          <cell r="G83" t="str">
            <v>22100-200</v>
          </cell>
          <cell r="H83">
            <v>2</v>
          </cell>
          <cell r="K83">
            <v>16.853000000000002</v>
          </cell>
          <cell r="L83">
            <v>33.706000000000003</v>
          </cell>
          <cell r="M83">
            <v>8173</v>
          </cell>
          <cell r="N83">
            <v>16346</v>
          </cell>
          <cell r="O83" t="str">
            <v>물정 '98.11 p.47</v>
          </cell>
        </row>
        <row r="84">
          <cell r="B84" t="str">
            <v>03980-072</v>
          </cell>
          <cell r="C84" t="str">
            <v>H-BEAM</v>
          </cell>
          <cell r="D84" t="str">
            <v>C S</v>
          </cell>
          <cell r="E84" t="str">
            <v>H100x100x6x8</v>
          </cell>
          <cell r="F84">
            <v>200</v>
          </cell>
          <cell r="G84" t="str">
            <v>22100-200</v>
          </cell>
          <cell r="H84">
            <v>2</v>
          </cell>
          <cell r="K84">
            <v>3.44</v>
          </cell>
          <cell r="L84">
            <v>6.88</v>
          </cell>
          <cell r="M84">
            <v>1668</v>
          </cell>
          <cell r="N84">
            <v>3336</v>
          </cell>
          <cell r="O84" t="str">
            <v>물정 '98.11 p.47</v>
          </cell>
        </row>
        <row r="85">
          <cell r="B85" t="str">
            <v>03980-072</v>
          </cell>
          <cell r="C85" t="str">
            <v>CT</v>
          </cell>
          <cell r="D85" t="str">
            <v>C S</v>
          </cell>
          <cell r="E85" t="str">
            <v>CT100x150x6x9</v>
          </cell>
          <cell r="F85">
            <v>200</v>
          </cell>
          <cell r="G85" t="str">
            <v>22100-200</v>
          </cell>
          <cell r="H85">
            <v>2</v>
          </cell>
          <cell r="K85">
            <v>3.06</v>
          </cell>
          <cell r="L85">
            <v>6.12</v>
          </cell>
          <cell r="M85">
            <v>1569</v>
          </cell>
          <cell r="N85">
            <v>3138</v>
          </cell>
          <cell r="O85" t="str">
            <v>물정 '98.11 p.48</v>
          </cell>
        </row>
        <row r="86">
          <cell r="B86" t="str">
            <v>03980-072</v>
          </cell>
          <cell r="C86" t="str">
            <v>ANCHOR BOLT</v>
          </cell>
          <cell r="D86" t="str">
            <v>C S</v>
          </cell>
          <cell r="E86" t="str">
            <v>M16x177L</v>
          </cell>
          <cell r="G86" t="str">
            <v>22100-200</v>
          </cell>
          <cell r="H86">
            <v>12</v>
          </cell>
          <cell r="K86">
            <v>0.34699999999999998</v>
          </cell>
          <cell r="L86">
            <v>4.1639999999999997</v>
          </cell>
          <cell r="M86">
            <v>1660</v>
          </cell>
          <cell r="N86">
            <v>19920</v>
          </cell>
          <cell r="O86" t="str">
            <v>견적가</v>
          </cell>
        </row>
        <row r="87">
          <cell r="B87" t="str">
            <v>03980-073</v>
          </cell>
          <cell r="C87" t="str">
            <v>PLATE</v>
          </cell>
          <cell r="D87" t="str">
            <v>C S</v>
          </cell>
          <cell r="E87" t="str">
            <v>PL300x300x15t</v>
          </cell>
          <cell r="G87" t="str">
            <v>22100-300</v>
          </cell>
          <cell r="H87">
            <v>4</v>
          </cell>
          <cell r="K87">
            <v>10.602</v>
          </cell>
          <cell r="L87">
            <v>42.408000000000001</v>
          </cell>
          <cell r="M87">
            <v>4293</v>
          </cell>
          <cell r="N87">
            <v>17172</v>
          </cell>
          <cell r="O87" t="str">
            <v>물정 '98.11 p.50</v>
          </cell>
        </row>
        <row r="88">
          <cell r="B88" t="str">
            <v>03980-077</v>
          </cell>
          <cell r="C88" t="str">
            <v>PLATE</v>
          </cell>
          <cell r="D88" t="str">
            <v>C S</v>
          </cell>
          <cell r="E88" t="str">
            <v>PL300x250x15t</v>
          </cell>
          <cell r="G88" t="str">
            <v>22100-300</v>
          </cell>
          <cell r="H88">
            <v>2</v>
          </cell>
          <cell r="K88">
            <v>8.8350000000000009</v>
          </cell>
          <cell r="L88">
            <v>17.670000000000002</v>
          </cell>
          <cell r="M88">
            <v>3578</v>
          </cell>
          <cell r="N88">
            <v>7156</v>
          </cell>
          <cell r="O88" t="str">
            <v>물정 '98.11 p.50</v>
          </cell>
        </row>
        <row r="89">
          <cell r="B89" t="str">
            <v>03980-102</v>
          </cell>
          <cell r="C89" t="str">
            <v>PLATE</v>
          </cell>
          <cell r="D89" t="str">
            <v>C S</v>
          </cell>
          <cell r="E89" t="str">
            <v>PL300x240x9t</v>
          </cell>
          <cell r="G89" t="str">
            <v>22100-300</v>
          </cell>
          <cell r="H89">
            <v>12</v>
          </cell>
          <cell r="K89">
            <v>5.0869999999999997</v>
          </cell>
          <cell r="L89">
            <v>61.043999999999997</v>
          </cell>
          <cell r="M89">
            <v>2111</v>
          </cell>
          <cell r="N89">
            <v>25332</v>
          </cell>
          <cell r="O89" t="str">
            <v>물정 '98.11 p.50</v>
          </cell>
        </row>
        <row r="90">
          <cell r="B90" t="str">
            <v>03980-084</v>
          </cell>
          <cell r="C90" t="str">
            <v>PLATE</v>
          </cell>
          <cell r="D90" t="str">
            <v>C S</v>
          </cell>
          <cell r="E90" t="str">
            <v>PL270x270x12t</v>
          </cell>
          <cell r="G90" t="str">
            <v>22100-300</v>
          </cell>
          <cell r="H90">
            <v>6</v>
          </cell>
          <cell r="K90">
            <v>6.867</v>
          </cell>
          <cell r="L90">
            <v>41.201999999999998</v>
          </cell>
          <cell r="M90">
            <v>2781</v>
          </cell>
          <cell r="N90">
            <v>16686</v>
          </cell>
          <cell r="O90" t="str">
            <v>물정 '98.11 p.50</v>
          </cell>
        </row>
        <row r="91">
          <cell r="B91" t="str">
            <v>03980-103</v>
          </cell>
          <cell r="C91" t="str">
            <v>PLATE</v>
          </cell>
          <cell r="D91" t="str">
            <v>C S</v>
          </cell>
          <cell r="E91" t="str">
            <v>PL250x98x15t</v>
          </cell>
          <cell r="G91" t="str">
            <v>22100-300</v>
          </cell>
          <cell r="H91">
            <v>20</v>
          </cell>
          <cell r="K91">
            <v>2.8860000000000001</v>
          </cell>
          <cell r="L91">
            <v>57.72</v>
          </cell>
          <cell r="M91">
            <v>1168</v>
          </cell>
          <cell r="N91">
            <v>23360</v>
          </cell>
          <cell r="O91" t="str">
            <v>물정 '98.11 p.50</v>
          </cell>
        </row>
        <row r="92">
          <cell r="B92" t="str">
            <v>03980-074</v>
          </cell>
          <cell r="C92" t="str">
            <v>PLATE</v>
          </cell>
          <cell r="D92" t="str">
            <v>C S</v>
          </cell>
          <cell r="E92" t="str">
            <v>PL220x100x15t</v>
          </cell>
          <cell r="G92" t="str">
            <v>22100-300</v>
          </cell>
          <cell r="H92">
            <v>8</v>
          </cell>
          <cell r="K92">
            <v>2.5920000000000001</v>
          </cell>
          <cell r="L92">
            <v>20.736000000000001</v>
          </cell>
          <cell r="M92">
            <v>1049</v>
          </cell>
          <cell r="N92">
            <v>8392</v>
          </cell>
          <cell r="O92" t="str">
            <v>물정 '98.11 p.50</v>
          </cell>
        </row>
        <row r="93">
          <cell r="B93" t="str">
            <v>03980-102</v>
          </cell>
          <cell r="C93" t="str">
            <v>PLATE</v>
          </cell>
          <cell r="D93" t="str">
            <v>C S</v>
          </cell>
          <cell r="E93" t="str">
            <v>PL200x200x9t</v>
          </cell>
          <cell r="G93" t="str">
            <v>22100-300</v>
          </cell>
          <cell r="H93">
            <v>4</v>
          </cell>
          <cell r="K93">
            <v>2.8260000000000001</v>
          </cell>
          <cell r="L93">
            <v>11.304</v>
          </cell>
          <cell r="M93">
            <v>1172</v>
          </cell>
          <cell r="N93">
            <v>4688</v>
          </cell>
          <cell r="O93" t="str">
            <v>물정 '98.11 p.50</v>
          </cell>
        </row>
        <row r="94">
          <cell r="B94" t="str">
            <v>03980-081</v>
          </cell>
          <cell r="C94" t="str">
            <v>PLATE</v>
          </cell>
          <cell r="D94" t="str">
            <v>C S</v>
          </cell>
          <cell r="E94" t="str">
            <v>PL150x50x15t</v>
          </cell>
          <cell r="G94" t="str">
            <v>22100-300</v>
          </cell>
          <cell r="H94">
            <v>42</v>
          </cell>
          <cell r="K94">
            <v>0.88400000000000001</v>
          </cell>
          <cell r="L94">
            <v>37.128</v>
          </cell>
          <cell r="M94">
            <v>358</v>
          </cell>
          <cell r="N94">
            <v>15036</v>
          </cell>
          <cell r="O94" t="str">
            <v>물정 '98.11 p.50</v>
          </cell>
        </row>
        <row r="95">
          <cell r="B95" t="str">
            <v>03980-102</v>
          </cell>
          <cell r="C95" t="str">
            <v>PLATE</v>
          </cell>
          <cell r="D95" t="str">
            <v>C S</v>
          </cell>
          <cell r="E95" t="str">
            <v>PL140x98x15t</v>
          </cell>
          <cell r="G95" t="str">
            <v>22100-300</v>
          </cell>
          <cell r="H95">
            <v>4</v>
          </cell>
          <cell r="K95">
            <v>1.6160000000000001</v>
          </cell>
          <cell r="L95">
            <v>6.4640000000000004</v>
          </cell>
          <cell r="M95">
            <v>654</v>
          </cell>
          <cell r="N95">
            <v>2616</v>
          </cell>
          <cell r="O95" t="str">
            <v>물정 '98.11 p.50</v>
          </cell>
        </row>
        <row r="96">
          <cell r="B96" t="str">
            <v>03980-073</v>
          </cell>
          <cell r="C96" t="str">
            <v>PLATE</v>
          </cell>
          <cell r="D96" t="str">
            <v>C S</v>
          </cell>
          <cell r="E96" t="str">
            <v>PL103x96x10t</v>
          </cell>
          <cell r="G96" t="str">
            <v>22100-300</v>
          </cell>
          <cell r="H96">
            <v>384</v>
          </cell>
          <cell r="K96">
            <v>0.77600000000000002</v>
          </cell>
          <cell r="L96">
            <v>297.98399999999998</v>
          </cell>
          <cell r="M96">
            <v>314</v>
          </cell>
          <cell r="N96">
            <v>120576</v>
          </cell>
          <cell r="O96" t="str">
            <v>물정 '98.11 p.50</v>
          </cell>
        </row>
        <row r="97">
          <cell r="B97" t="str">
            <v>03980-084</v>
          </cell>
          <cell r="C97" t="str">
            <v>PIPE STD WT</v>
          </cell>
          <cell r="D97" t="str">
            <v>C S</v>
          </cell>
          <cell r="E97" t="str">
            <v>DN200</v>
          </cell>
          <cell r="F97">
            <v>128</v>
          </cell>
          <cell r="G97" t="str">
            <v>22100-300</v>
          </cell>
          <cell r="H97">
            <v>6</v>
          </cell>
          <cell r="K97">
            <v>5.484</v>
          </cell>
          <cell r="L97">
            <v>32.904000000000003</v>
          </cell>
          <cell r="M97">
            <v>312.32</v>
          </cell>
          <cell r="N97">
            <v>1873</v>
          </cell>
          <cell r="O97" t="str">
            <v>물자 '98.11 p.476</v>
          </cell>
        </row>
        <row r="98">
          <cell r="B98" t="str">
            <v>03980-102</v>
          </cell>
          <cell r="C98" t="str">
            <v>PIPE STD WT</v>
          </cell>
          <cell r="D98" t="str">
            <v>C S</v>
          </cell>
          <cell r="E98" t="str">
            <v>DN150</v>
          </cell>
          <cell r="F98">
            <v>220</v>
          </cell>
          <cell r="G98" t="str">
            <v>22100-300</v>
          </cell>
          <cell r="H98">
            <v>4</v>
          </cell>
          <cell r="K98">
            <v>6.22</v>
          </cell>
          <cell r="L98">
            <v>24.88</v>
          </cell>
          <cell r="M98">
            <v>3582.26</v>
          </cell>
          <cell r="N98">
            <v>14329</v>
          </cell>
          <cell r="O98" t="str">
            <v>물자 '98.11 p.476</v>
          </cell>
        </row>
        <row r="99">
          <cell r="B99" t="str">
            <v>03980-101</v>
          </cell>
          <cell r="C99" t="str">
            <v>H-BEAM</v>
          </cell>
          <cell r="D99" t="str">
            <v>C S</v>
          </cell>
          <cell r="E99" t="str">
            <v>H150x150x7x9</v>
          </cell>
          <cell r="F99">
            <v>302</v>
          </cell>
          <cell r="G99" t="str">
            <v>22100-300</v>
          </cell>
          <cell r="H99">
            <v>2</v>
          </cell>
          <cell r="K99">
            <v>9.5129999999999999</v>
          </cell>
          <cell r="L99">
            <v>19.026</v>
          </cell>
          <cell r="M99">
            <v>4613</v>
          </cell>
          <cell r="N99">
            <v>9226</v>
          </cell>
          <cell r="O99" t="str">
            <v>물정 '98.11 p.47</v>
          </cell>
        </row>
        <row r="100">
          <cell r="B100" t="str">
            <v>03980-087</v>
          </cell>
          <cell r="C100" t="str">
            <v>H-BEAM</v>
          </cell>
          <cell r="D100" t="str">
            <v>C S</v>
          </cell>
          <cell r="E100" t="str">
            <v>H150x100x6x9</v>
          </cell>
          <cell r="F100">
            <v>775</v>
          </cell>
          <cell r="G100" t="str">
            <v>22100-300</v>
          </cell>
          <cell r="H100">
            <v>5</v>
          </cell>
          <cell r="K100">
            <v>16.353000000000002</v>
          </cell>
          <cell r="L100">
            <v>81.765000000000001</v>
          </cell>
          <cell r="M100">
            <v>7931</v>
          </cell>
          <cell r="N100">
            <v>39655</v>
          </cell>
          <cell r="O100" t="str">
            <v>물정 '98.11 p.47</v>
          </cell>
        </row>
        <row r="101">
          <cell r="B101" t="str">
            <v>03980-087</v>
          </cell>
          <cell r="C101" t="str">
            <v>H-BEAM</v>
          </cell>
          <cell r="D101" t="str">
            <v>C S</v>
          </cell>
          <cell r="E101" t="str">
            <v>H150x100x6x9</v>
          </cell>
          <cell r="F101">
            <v>1800</v>
          </cell>
          <cell r="G101" t="str">
            <v>22100-300</v>
          </cell>
          <cell r="H101">
            <v>10</v>
          </cell>
          <cell r="K101">
            <v>37.979999999999997</v>
          </cell>
          <cell r="L101">
            <v>379.8</v>
          </cell>
          <cell r="M101">
            <v>18420</v>
          </cell>
          <cell r="N101">
            <v>184200</v>
          </cell>
          <cell r="O101" t="str">
            <v>물정 '98.11 p.47</v>
          </cell>
        </row>
        <row r="102">
          <cell r="B102" t="str">
            <v>03980-073</v>
          </cell>
          <cell r="C102" t="str">
            <v>H-BEAM</v>
          </cell>
          <cell r="D102" t="str">
            <v>C S</v>
          </cell>
          <cell r="E102" t="str">
            <v>H100x100x6x8</v>
          </cell>
          <cell r="F102">
            <v>520</v>
          </cell>
          <cell r="G102" t="str">
            <v>22100-300</v>
          </cell>
          <cell r="H102">
            <v>2</v>
          </cell>
          <cell r="K102">
            <v>8.9440000000000008</v>
          </cell>
          <cell r="L102">
            <v>17.888000000000002</v>
          </cell>
          <cell r="M102">
            <v>4337</v>
          </cell>
          <cell r="N102">
            <v>8674</v>
          </cell>
          <cell r="O102" t="str">
            <v>물정 '98.11 p.47</v>
          </cell>
        </row>
        <row r="103">
          <cell r="B103" t="str">
            <v>03980-091</v>
          </cell>
          <cell r="C103" t="str">
            <v>H-BEAM</v>
          </cell>
          <cell r="D103" t="str">
            <v>C S</v>
          </cell>
          <cell r="E103" t="str">
            <v>H100x100x6x8</v>
          </cell>
          <cell r="F103">
            <v>1000</v>
          </cell>
          <cell r="G103" t="str">
            <v>22100-300</v>
          </cell>
          <cell r="H103">
            <v>3</v>
          </cell>
          <cell r="K103">
            <v>17.2</v>
          </cell>
          <cell r="L103">
            <v>51.6</v>
          </cell>
          <cell r="M103">
            <v>8342</v>
          </cell>
          <cell r="N103">
            <v>25026</v>
          </cell>
          <cell r="O103" t="str">
            <v>물정 '98.11 p.47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row r="8">
          <cell r="A8" t="str">
            <v>HBY</v>
          </cell>
        </row>
        <row r="9">
          <cell r="A9" t="str">
            <v>85500-001</v>
          </cell>
          <cell r="B9" t="str">
            <v>ANCHOR BOLT</v>
          </cell>
          <cell r="C9" t="str">
            <v>C S</v>
          </cell>
          <cell r="D9" t="str">
            <v>M10x80L</v>
          </cell>
          <cell r="F9" t="str">
            <v>71730-150</v>
          </cell>
          <cell r="G9">
            <v>64</v>
          </cell>
          <cell r="H9">
            <v>0.11</v>
          </cell>
          <cell r="I9">
            <v>7.04</v>
          </cell>
        </row>
        <row r="10">
          <cell r="A10" t="str">
            <v>85500-001</v>
          </cell>
          <cell r="B10" t="str">
            <v>ANGLE</v>
          </cell>
          <cell r="C10" t="str">
            <v>C S</v>
          </cell>
          <cell r="D10" t="str">
            <v>L50X50X6</v>
          </cell>
          <cell r="E10">
            <v>1800</v>
          </cell>
          <cell r="F10" t="str">
            <v>71730-150</v>
          </cell>
          <cell r="G10">
            <v>1</v>
          </cell>
          <cell r="H10">
            <v>27.02</v>
          </cell>
          <cell r="I10">
            <v>27.02</v>
          </cell>
          <cell r="J10">
            <v>0.05</v>
          </cell>
        </row>
        <row r="11">
          <cell r="A11" t="str">
            <v>85500-001</v>
          </cell>
          <cell r="B11" t="str">
            <v>CHANNEL</v>
          </cell>
          <cell r="C11" t="str">
            <v>C S</v>
          </cell>
          <cell r="D11" t="str">
            <v>ㄷ100x50x5</v>
          </cell>
          <cell r="E11">
            <v>6100</v>
          </cell>
          <cell r="F11" t="str">
            <v>71730-150</v>
          </cell>
          <cell r="G11">
            <v>1</v>
          </cell>
          <cell r="H11">
            <v>57.1</v>
          </cell>
          <cell r="I11">
            <v>57.1</v>
          </cell>
          <cell r="J11">
            <v>0.05</v>
          </cell>
        </row>
        <row r="12">
          <cell r="A12" t="str">
            <v>85500-001</v>
          </cell>
          <cell r="B12" t="str">
            <v>CHANNEL</v>
          </cell>
          <cell r="C12" t="str">
            <v>C S</v>
          </cell>
          <cell r="D12" t="str">
            <v>ㄷ100x50x5</v>
          </cell>
          <cell r="E12">
            <v>2150</v>
          </cell>
          <cell r="F12" t="str">
            <v>71730-150</v>
          </cell>
          <cell r="G12">
            <v>5</v>
          </cell>
          <cell r="H12">
            <v>20.12</v>
          </cell>
          <cell r="I12">
            <v>100.6</v>
          </cell>
          <cell r="J12">
            <v>0.05</v>
          </cell>
        </row>
        <row r="13">
          <cell r="A13" t="str">
            <v>85500-001</v>
          </cell>
          <cell r="B13" t="str">
            <v>CHANNEL</v>
          </cell>
          <cell r="C13" t="str">
            <v>C S</v>
          </cell>
          <cell r="D13" t="str">
            <v>ㄷ100x50x5</v>
          </cell>
          <cell r="E13">
            <v>1900</v>
          </cell>
          <cell r="F13" t="str">
            <v>71730-150</v>
          </cell>
          <cell r="G13">
            <v>3</v>
          </cell>
          <cell r="H13">
            <v>17.78</v>
          </cell>
          <cell r="I13">
            <v>53.34</v>
          </cell>
          <cell r="J13">
            <v>0.05</v>
          </cell>
        </row>
        <row r="14">
          <cell r="A14" t="str">
            <v>85500-001</v>
          </cell>
          <cell r="B14" t="str">
            <v>STEEL PLATE</v>
          </cell>
          <cell r="C14" t="str">
            <v>C S</v>
          </cell>
          <cell r="D14" t="str">
            <v>PL150x150x9</v>
          </cell>
          <cell r="F14" t="str">
            <v>71730-150</v>
          </cell>
          <cell r="G14">
            <v>16</v>
          </cell>
          <cell r="H14">
            <v>1.59</v>
          </cell>
          <cell r="I14">
            <v>25.44</v>
          </cell>
          <cell r="J14">
            <v>0.1</v>
          </cell>
        </row>
        <row r="15">
          <cell r="A15" t="str">
            <v>85500-001</v>
          </cell>
          <cell r="B15" t="str">
            <v>U-BOLT</v>
          </cell>
          <cell r="C15" t="str">
            <v>C S</v>
          </cell>
          <cell r="D15" t="str">
            <v>DN150</v>
          </cell>
          <cell r="F15" t="str">
            <v>71730-150</v>
          </cell>
          <cell r="G15">
            <v>22</v>
          </cell>
          <cell r="H15">
            <v>1.1499999999999999</v>
          </cell>
          <cell r="I15">
            <v>25.3</v>
          </cell>
        </row>
        <row r="16">
          <cell r="A16" t="str">
            <v>85500-002</v>
          </cell>
          <cell r="B16" t="str">
            <v>ANCHOR BOLT</v>
          </cell>
          <cell r="C16" t="str">
            <v>C S</v>
          </cell>
          <cell r="D16" t="str">
            <v>M10x80L</v>
          </cell>
          <cell r="F16" t="str">
            <v>71730-125</v>
          </cell>
          <cell r="G16">
            <v>20</v>
          </cell>
          <cell r="H16">
            <v>0.11</v>
          </cell>
          <cell r="I16">
            <v>2.2000000000000002</v>
          </cell>
        </row>
        <row r="17">
          <cell r="A17" t="str">
            <v>85500-002</v>
          </cell>
          <cell r="B17" t="str">
            <v>CHANNEL</v>
          </cell>
          <cell r="C17" t="str">
            <v>C S</v>
          </cell>
          <cell r="D17" t="str">
            <v>ㄷ100x50x5</v>
          </cell>
          <cell r="E17">
            <v>2710</v>
          </cell>
          <cell r="F17" t="str">
            <v>71730-125</v>
          </cell>
          <cell r="G17">
            <v>1</v>
          </cell>
          <cell r="H17">
            <v>25.37</v>
          </cell>
          <cell r="I17">
            <v>25.37</v>
          </cell>
          <cell r="J17">
            <v>0.05</v>
          </cell>
        </row>
        <row r="18">
          <cell r="A18" t="str">
            <v>85500-002</v>
          </cell>
          <cell r="B18" t="str">
            <v>CHANNEL</v>
          </cell>
          <cell r="C18" t="str">
            <v>C S</v>
          </cell>
          <cell r="D18" t="str">
            <v>ㄷ100x50x5</v>
          </cell>
          <cell r="E18">
            <v>2230</v>
          </cell>
          <cell r="F18" t="str">
            <v>71730-125</v>
          </cell>
          <cell r="G18">
            <v>1</v>
          </cell>
          <cell r="H18">
            <v>20.87</v>
          </cell>
          <cell r="I18">
            <v>20.87</v>
          </cell>
          <cell r="J18">
            <v>0.05</v>
          </cell>
        </row>
        <row r="19">
          <cell r="A19" t="str">
            <v>85500-002</v>
          </cell>
          <cell r="B19" t="str">
            <v>CHANNEL</v>
          </cell>
          <cell r="C19" t="str">
            <v>C S</v>
          </cell>
          <cell r="D19" t="str">
            <v>ㄷ100x50x5</v>
          </cell>
          <cell r="E19">
            <v>3200</v>
          </cell>
          <cell r="F19" t="str">
            <v>71730-125</v>
          </cell>
          <cell r="G19">
            <v>1</v>
          </cell>
          <cell r="H19">
            <v>29.55</v>
          </cell>
          <cell r="I19">
            <v>29.55</v>
          </cell>
          <cell r="J19">
            <v>0.05</v>
          </cell>
        </row>
        <row r="20">
          <cell r="A20" t="str">
            <v>85500-002</v>
          </cell>
          <cell r="B20" t="str">
            <v>STEEL PLATE</v>
          </cell>
          <cell r="C20" t="str">
            <v>C S</v>
          </cell>
          <cell r="D20" t="str">
            <v>PL150x150x9</v>
          </cell>
          <cell r="F20" t="str">
            <v>71730-125</v>
          </cell>
          <cell r="G20">
            <v>5</v>
          </cell>
          <cell r="H20">
            <v>1.59</v>
          </cell>
          <cell r="I20">
            <v>7.95</v>
          </cell>
          <cell r="J20">
            <v>0.1</v>
          </cell>
        </row>
        <row r="21">
          <cell r="A21" t="str">
            <v>85500-002</v>
          </cell>
          <cell r="B21" t="str">
            <v>U-BOLT</v>
          </cell>
          <cell r="C21" t="str">
            <v>C S</v>
          </cell>
          <cell r="D21" t="str">
            <v>DN125</v>
          </cell>
          <cell r="F21" t="str">
            <v>71730-125</v>
          </cell>
          <cell r="G21">
            <v>10</v>
          </cell>
          <cell r="H21">
            <v>1</v>
          </cell>
          <cell r="I21">
            <v>10</v>
          </cell>
        </row>
        <row r="22">
          <cell r="A22" t="str">
            <v>85500-005</v>
          </cell>
          <cell r="B22" t="str">
            <v>ANGLE</v>
          </cell>
          <cell r="C22" t="str">
            <v>C S</v>
          </cell>
          <cell r="D22" t="str">
            <v>L50X50X6</v>
          </cell>
          <cell r="E22">
            <v>1000</v>
          </cell>
          <cell r="F22" t="str">
            <v>71730- 50</v>
          </cell>
          <cell r="G22">
            <v>15</v>
          </cell>
          <cell r="H22">
            <v>4.43</v>
          </cell>
          <cell r="I22">
            <v>66.45</v>
          </cell>
          <cell r="J22">
            <v>0.05</v>
          </cell>
        </row>
        <row r="23">
          <cell r="A23" t="str">
            <v>85500-005</v>
          </cell>
          <cell r="B23" t="str">
            <v>ANGLE</v>
          </cell>
          <cell r="C23" t="str">
            <v>C S</v>
          </cell>
          <cell r="D23" t="str">
            <v>L50X50X6</v>
          </cell>
          <cell r="E23">
            <v>500</v>
          </cell>
          <cell r="F23" t="str">
            <v>71730- 50</v>
          </cell>
          <cell r="G23">
            <v>8</v>
          </cell>
          <cell r="H23">
            <v>2.2000000000000002</v>
          </cell>
          <cell r="I23">
            <v>17.600000000000001</v>
          </cell>
          <cell r="J23">
            <v>0.05</v>
          </cell>
        </row>
        <row r="24">
          <cell r="A24" t="str">
            <v>85500-006</v>
          </cell>
          <cell r="B24" t="str">
            <v>ANGLE</v>
          </cell>
          <cell r="C24" t="str">
            <v>C S</v>
          </cell>
          <cell r="D24" t="str">
            <v>L50X50X6</v>
          </cell>
          <cell r="E24">
            <v>1100</v>
          </cell>
          <cell r="F24" t="str">
            <v>71730- 50</v>
          </cell>
          <cell r="G24">
            <v>8</v>
          </cell>
          <cell r="H24">
            <v>4.87</v>
          </cell>
          <cell r="I24">
            <v>38.96</v>
          </cell>
          <cell r="J24">
            <v>0.05</v>
          </cell>
        </row>
        <row r="25">
          <cell r="A25" t="str">
            <v>85500-005</v>
          </cell>
          <cell r="B25" t="str">
            <v>STEEL PLATE</v>
          </cell>
          <cell r="C25" t="str">
            <v>C S</v>
          </cell>
          <cell r="D25" t="str">
            <v>PL150x150x9</v>
          </cell>
          <cell r="F25" t="str">
            <v>71730- 50</v>
          </cell>
          <cell r="G25">
            <v>31</v>
          </cell>
          <cell r="H25">
            <v>1.59</v>
          </cell>
          <cell r="I25">
            <v>49.29</v>
          </cell>
          <cell r="J25">
            <v>0.1</v>
          </cell>
        </row>
        <row r="26">
          <cell r="A26" t="str">
            <v>85500-005</v>
          </cell>
          <cell r="B26" t="str">
            <v>U-BOLT</v>
          </cell>
          <cell r="C26" t="str">
            <v>C S</v>
          </cell>
          <cell r="D26" t="str">
            <v>DN50</v>
          </cell>
          <cell r="F26" t="str">
            <v>71730- 50</v>
          </cell>
          <cell r="G26">
            <v>62</v>
          </cell>
          <cell r="H26">
            <v>0.17</v>
          </cell>
          <cell r="I26">
            <v>10.54</v>
          </cell>
        </row>
        <row r="27">
          <cell r="A27" t="str">
            <v>85500-004</v>
          </cell>
          <cell r="B27" t="str">
            <v>ANGLE</v>
          </cell>
          <cell r="C27" t="str">
            <v>C S</v>
          </cell>
          <cell r="D27" t="str">
            <v>L50X50X6</v>
          </cell>
          <cell r="E27">
            <v>1800</v>
          </cell>
          <cell r="F27" t="str">
            <v>71730- 25</v>
          </cell>
          <cell r="G27">
            <v>13</v>
          </cell>
          <cell r="H27">
            <v>7.97</v>
          </cell>
          <cell r="I27">
            <v>103.61</v>
          </cell>
          <cell r="J27">
            <v>0.05</v>
          </cell>
        </row>
        <row r="28">
          <cell r="A28" t="str">
            <v>85500-005</v>
          </cell>
          <cell r="B28" t="str">
            <v>ANGLE</v>
          </cell>
          <cell r="C28" t="str">
            <v>C S</v>
          </cell>
          <cell r="D28" t="str">
            <v>L50X50X6</v>
          </cell>
          <cell r="E28">
            <v>500</v>
          </cell>
          <cell r="F28" t="str">
            <v>71730- 25</v>
          </cell>
          <cell r="G28">
            <v>4</v>
          </cell>
          <cell r="H28">
            <v>2.2200000000000002</v>
          </cell>
          <cell r="I28">
            <v>8.8800000000000008</v>
          </cell>
          <cell r="J28">
            <v>0.05</v>
          </cell>
        </row>
        <row r="29">
          <cell r="A29" t="str">
            <v>85500-006</v>
          </cell>
          <cell r="B29" t="str">
            <v>ANGLE</v>
          </cell>
          <cell r="C29" t="str">
            <v>C S</v>
          </cell>
          <cell r="D29" t="str">
            <v>L50X50X6</v>
          </cell>
          <cell r="E29">
            <v>1100</v>
          </cell>
          <cell r="F29" t="str">
            <v>71730- 25</v>
          </cell>
          <cell r="G29">
            <v>10</v>
          </cell>
          <cell r="H29">
            <v>4.87</v>
          </cell>
          <cell r="I29">
            <v>48.7</v>
          </cell>
          <cell r="J29">
            <v>0.05</v>
          </cell>
        </row>
        <row r="30">
          <cell r="A30" t="str">
            <v>85500-006</v>
          </cell>
          <cell r="B30" t="str">
            <v>ANGLE</v>
          </cell>
          <cell r="C30" t="str">
            <v>C S</v>
          </cell>
          <cell r="D30" t="str">
            <v>L50X50X6</v>
          </cell>
          <cell r="E30">
            <v>2100</v>
          </cell>
          <cell r="F30" t="str">
            <v>71730- 25</v>
          </cell>
          <cell r="G30">
            <v>10</v>
          </cell>
          <cell r="H30">
            <v>9.3000000000000007</v>
          </cell>
          <cell r="I30">
            <v>93</v>
          </cell>
          <cell r="J30">
            <v>0.05</v>
          </cell>
        </row>
        <row r="31">
          <cell r="A31" t="str">
            <v>85500-008</v>
          </cell>
          <cell r="B31" t="str">
            <v>ANGLE</v>
          </cell>
          <cell r="C31" t="str">
            <v>C S</v>
          </cell>
          <cell r="D31" t="str">
            <v>L50X50X6</v>
          </cell>
          <cell r="E31">
            <v>2000</v>
          </cell>
          <cell r="F31" t="str">
            <v>71730- 25</v>
          </cell>
          <cell r="G31">
            <v>1</v>
          </cell>
          <cell r="H31">
            <v>8.86</v>
          </cell>
          <cell r="I31">
            <v>8.86</v>
          </cell>
          <cell r="J31">
            <v>0.05</v>
          </cell>
        </row>
        <row r="32">
          <cell r="A32" t="str">
            <v>85500-004</v>
          </cell>
          <cell r="B32" t="str">
            <v>STEEL PLATE</v>
          </cell>
          <cell r="C32" t="str">
            <v>C S</v>
          </cell>
          <cell r="D32" t="str">
            <v>PL150x150x9</v>
          </cell>
          <cell r="F32" t="str">
            <v>71730- 25</v>
          </cell>
          <cell r="G32">
            <v>38</v>
          </cell>
          <cell r="H32">
            <v>1.59</v>
          </cell>
          <cell r="I32">
            <v>60.42</v>
          </cell>
          <cell r="J32">
            <v>0.1</v>
          </cell>
        </row>
        <row r="33">
          <cell r="A33" t="str">
            <v>85500-004</v>
          </cell>
          <cell r="B33" t="str">
            <v>U-BOLT</v>
          </cell>
          <cell r="C33" t="str">
            <v>C S</v>
          </cell>
          <cell r="D33" t="str">
            <v>DN25</v>
          </cell>
          <cell r="F33" t="str">
            <v>71730- 25</v>
          </cell>
          <cell r="G33">
            <v>47</v>
          </cell>
          <cell r="H33">
            <v>0.14000000000000001</v>
          </cell>
          <cell r="I33">
            <v>6.58</v>
          </cell>
        </row>
        <row r="35">
          <cell r="A35" t="str">
            <v>XBK</v>
          </cell>
        </row>
        <row r="36">
          <cell r="A36" t="str">
            <v>85500-002</v>
          </cell>
          <cell r="B36" t="str">
            <v>ANCHOR BOLT</v>
          </cell>
          <cell r="C36" t="str">
            <v>C S</v>
          </cell>
          <cell r="D36" t="str">
            <v>M10x80L</v>
          </cell>
          <cell r="F36" t="str">
            <v>71730-150</v>
          </cell>
          <cell r="G36">
            <v>36</v>
          </cell>
          <cell r="H36">
            <v>0.11</v>
          </cell>
          <cell r="I36">
            <v>3.96</v>
          </cell>
        </row>
        <row r="37">
          <cell r="A37" t="str">
            <v>85500-002</v>
          </cell>
          <cell r="B37" t="str">
            <v>CHANNEL</v>
          </cell>
          <cell r="C37" t="str">
            <v>C S</v>
          </cell>
          <cell r="D37" t="str">
            <v>ㄷ100x50x5</v>
          </cell>
          <cell r="E37">
            <v>2700</v>
          </cell>
          <cell r="F37" t="str">
            <v>71730-150</v>
          </cell>
          <cell r="G37">
            <v>4</v>
          </cell>
          <cell r="H37">
            <v>25.27</v>
          </cell>
          <cell r="I37">
            <v>101.08</v>
          </cell>
          <cell r="J37">
            <v>0.05</v>
          </cell>
        </row>
        <row r="38">
          <cell r="A38" t="str">
            <v>85500-002</v>
          </cell>
          <cell r="B38" t="str">
            <v>CHANNEL</v>
          </cell>
          <cell r="C38" t="str">
            <v>C S</v>
          </cell>
          <cell r="D38" t="str">
            <v>ㄷ100x50x5</v>
          </cell>
          <cell r="E38">
            <v>300</v>
          </cell>
          <cell r="F38" t="str">
            <v>71730-150</v>
          </cell>
          <cell r="G38">
            <v>1</v>
          </cell>
          <cell r="H38">
            <v>2.81</v>
          </cell>
          <cell r="I38">
            <v>2.81</v>
          </cell>
          <cell r="J38">
            <v>0.05</v>
          </cell>
        </row>
        <row r="39">
          <cell r="A39" t="str">
            <v>85500-002</v>
          </cell>
          <cell r="B39" t="str">
            <v>H-BEAM</v>
          </cell>
          <cell r="C39" t="str">
            <v>C S</v>
          </cell>
          <cell r="D39" t="str">
            <v>H100X100X6X8</v>
          </cell>
          <cell r="E39">
            <v>2300</v>
          </cell>
          <cell r="F39" t="str">
            <v>71730-150</v>
          </cell>
          <cell r="G39">
            <v>1</v>
          </cell>
          <cell r="H39">
            <v>39.56</v>
          </cell>
          <cell r="I39">
            <v>39.56</v>
          </cell>
          <cell r="J39">
            <v>7.0000000000000007E-2</v>
          </cell>
        </row>
        <row r="40">
          <cell r="A40" t="str">
            <v>85500-008</v>
          </cell>
          <cell r="B40" t="str">
            <v>H-BEAM</v>
          </cell>
          <cell r="C40" t="str">
            <v>C S</v>
          </cell>
          <cell r="D40" t="str">
            <v>H100X100X6X8</v>
          </cell>
          <cell r="E40">
            <v>5900</v>
          </cell>
          <cell r="F40" t="str">
            <v>71730-150</v>
          </cell>
          <cell r="G40">
            <v>4</v>
          </cell>
          <cell r="H40">
            <v>101.48</v>
          </cell>
          <cell r="I40">
            <v>405.92</v>
          </cell>
          <cell r="J40">
            <v>7.0000000000000007E-2</v>
          </cell>
        </row>
        <row r="41">
          <cell r="A41" t="str">
            <v>85500-002</v>
          </cell>
          <cell r="B41" t="str">
            <v>STEEL PLATE</v>
          </cell>
          <cell r="C41" t="str">
            <v>C S</v>
          </cell>
          <cell r="D41" t="str">
            <v>PL150x150x9</v>
          </cell>
          <cell r="F41" t="str">
            <v>71730-150</v>
          </cell>
          <cell r="G41">
            <v>17</v>
          </cell>
          <cell r="H41">
            <v>1.59</v>
          </cell>
          <cell r="I41">
            <v>27.03</v>
          </cell>
          <cell r="J41">
            <v>0.1</v>
          </cell>
        </row>
        <row r="42">
          <cell r="A42" t="str">
            <v>85500-002</v>
          </cell>
          <cell r="B42" t="str">
            <v>U-BOLT</v>
          </cell>
          <cell r="C42" t="str">
            <v>C S</v>
          </cell>
          <cell r="D42" t="str">
            <v>DN150</v>
          </cell>
          <cell r="F42" t="str">
            <v>71730-150</v>
          </cell>
          <cell r="G42">
            <v>17</v>
          </cell>
          <cell r="H42">
            <v>1.1499999999999999</v>
          </cell>
          <cell r="I42">
            <v>19.55</v>
          </cell>
        </row>
        <row r="43">
          <cell r="A43" t="str">
            <v>85500-002</v>
          </cell>
          <cell r="B43" t="str">
            <v>ANCHOR BOLT</v>
          </cell>
          <cell r="C43" t="str">
            <v>C S</v>
          </cell>
          <cell r="D43" t="str">
            <v>M10x80L</v>
          </cell>
          <cell r="F43" t="str">
            <v>71730-125</v>
          </cell>
          <cell r="G43">
            <v>16</v>
          </cell>
          <cell r="H43">
            <v>0.11</v>
          </cell>
          <cell r="I43">
            <v>1.76</v>
          </cell>
        </row>
        <row r="44">
          <cell r="A44" t="str">
            <v>85500-002</v>
          </cell>
          <cell r="B44" t="str">
            <v>CHANNEL</v>
          </cell>
          <cell r="C44" t="str">
            <v>C S</v>
          </cell>
          <cell r="D44" t="str">
            <v>ㄷ100x50x5</v>
          </cell>
          <cell r="E44">
            <v>300</v>
          </cell>
          <cell r="F44" t="str">
            <v>71730-125</v>
          </cell>
          <cell r="G44">
            <v>2</v>
          </cell>
          <cell r="H44">
            <v>2.81</v>
          </cell>
          <cell r="I44">
            <v>5.62</v>
          </cell>
          <cell r="J44">
            <v>0.05</v>
          </cell>
        </row>
        <row r="45">
          <cell r="A45" t="str">
            <v>85500-002</v>
          </cell>
          <cell r="B45" t="str">
            <v>H-BEAM</v>
          </cell>
          <cell r="C45" t="str">
            <v>C S</v>
          </cell>
          <cell r="D45" t="str">
            <v>H100X100X6X8</v>
          </cell>
          <cell r="E45">
            <v>2000</v>
          </cell>
          <cell r="F45" t="str">
            <v>71730-125</v>
          </cell>
          <cell r="G45">
            <v>3</v>
          </cell>
          <cell r="H45">
            <v>34.4</v>
          </cell>
          <cell r="I45">
            <v>103.2</v>
          </cell>
          <cell r="J45">
            <v>7.0000000000000007E-2</v>
          </cell>
        </row>
        <row r="46">
          <cell r="A46" t="str">
            <v>85500-002</v>
          </cell>
          <cell r="B46" t="str">
            <v>PIPE STD WT</v>
          </cell>
          <cell r="C46" t="str">
            <v>C S</v>
          </cell>
          <cell r="D46" t="str">
            <v>DN100</v>
          </cell>
          <cell r="E46">
            <v>2300</v>
          </cell>
          <cell r="F46" t="str">
            <v>71730-125</v>
          </cell>
          <cell r="G46">
            <v>1</v>
          </cell>
          <cell r="H46">
            <v>28.06</v>
          </cell>
          <cell r="I46">
            <v>28.06</v>
          </cell>
          <cell r="J46">
            <v>0.05</v>
          </cell>
        </row>
        <row r="47">
          <cell r="A47" t="str">
            <v>85500-002</v>
          </cell>
          <cell r="B47" t="str">
            <v>PIPE STD WT</v>
          </cell>
          <cell r="C47" t="str">
            <v>C S</v>
          </cell>
          <cell r="D47" t="str">
            <v>DN100</v>
          </cell>
          <cell r="E47">
            <v>2000</v>
          </cell>
          <cell r="F47" t="str">
            <v>71730-125</v>
          </cell>
          <cell r="G47">
            <v>1</v>
          </cell>
          <cell r="H47">
            <v>24.4</v>
          </cell>
          <cell r="I47">
            <v>24.4</v>
          </cell>
          <cell r="J47">
            <v>0.05</v>
          </cell>
        </row>
        <row r="48">
          <cell r="A48" t="str">
            <v>85500-002</v>
          </cell>
          <cell r="B48" t="str">
            <v>STEEL PLATE</v>
          </cell>
          <cell r="C48" t="str">
            <v>C S</v>
          </cell>
          <cell r="D48" t="str">
            <v>PL150x150x9</v>
          </cell>
          <cell r="F48" t="str">
            <v>71730-125</v>
          </cell>
          <cell r="G48">
            <v>4</v>
          </cell>
          <cell r="H48">
            <v>1.59</v>
          </cell>
          <cell r="I48">
            <v>6.36</v>
          </cell>
          <cell r="J48">
            <v>0.1</v>
          </cell>
        </row>
        <row r="49">
          <cell r="A49" t="str">
            <v>85500-002</v>
          </cell>
          <cell r="B49" t="str">
            <v>U-BOLT</v>
          </cell>
          <cell r="C49" t="str">
            <v>C S</v>
          </cell>
          <cell r="D49" t="str">
            <v>DN125</v>
          </cell>
          <cell r="F49" t="str">
            <v>71730-125</v>
          </cell>
          <cell r="G49">
            <v>2</v>
          </cell>
          <cell r="H49">
            <v>1</v>
          </cell>
          <cell r="I49">
            <v>2</v>
          </cell>
        </row>
        <row r="50">
          <cell r="A50" t="str">
            <v>85500-008</v>
          </cell>
          <cell r="B50" t="str">
            <v>H-BEAM</v>
          </cell>
          <cell r="C50" t="str">
            <v>C S</v>
          </cell>
          <cell r="D50" t="str">
            <v>H100X100X6X8</v>
          </cell>
          <cell r="E50">
            <v>5900</v>
          </cell>
          <cell r="F50" t="str">
            <v>71730-100</v>
          </cell>
          <cell r="G50">
            <v>2</v>
          </cell>
          <cell r="H50">
            <v>101.48</v>
          </cell>
          <cell r="I50">
            <v>202.96</v>
          </cell>
          <cell r="J50">
            <v>7.0000000000000007E-2</v>
          </cell>
        </row>
        <row r="51">
          <cell r="A51" t="str">
            <v>85500-008</v>
          </cell>
          <cell r="B51" t="str">
            <v>H-BEAM</v>
          </cell>
          <cell r="C51" t="str">
            <v>C S</v>
          </cell>
          <cell r="D51" t="str">
            <v>H100X100X6X8</v>
          </cell>
          <cell r="E51">
            <v>4280</v>
          </cell>
          <cell r="F51" t="str">
            <v>71730-100</v>
          </cell>
          <cell r="G51">
            <v>1</v>
          </cell>
          <cell r="H51">
            <v>73.62</v>
          </cell>
          <cell r="I51">
            <v>73.62</v>
          </cell>
          <cell r="J51">
            <v>7.0000000000000007E-2</v>
          </cell>
        </row>
        <row r="52">
          <cell r="A52" t="str">
            <v>85500-008</v>
          </cell>
          <cell r="B52" t="str">
            <v>STEEL PLATE</v>
          </cell>
          <cell r="C52" t="str">
            <v>C S</v>
          </cell>
          <cell r="D52" t="str">
            <v>PL150x150x9</v>
          </cell>
          <cell r="F52" t="str">
            <v>71730-100</v>
          </cell>
          <cell r="G52">
            <v>6</v>
          </cell>
          <cell r="H52">
            <v>1.59</v>
          </cell>
          <cell r="I52">
            <v>9.5399999999999991</v>
          </cell>
          <cell r="J52">
            <v>0.1</v>
          </cell>
        </row>
        <row r="53">
          <cell r="A53" t="str">
            <v>85500-008</v>
          </cell>
          <cell r="B53" t="str">
            <v>U-BOLT</v>
          </cell>
          <cell r="C53" t="str">
            <v>C S</v>
          </cell>
          <cell r="D53" t="str">
            <v>DN100</v>
          </cell>
          <cell r="F53" t="str">
            <v>71730-100</v>
          </cell>
          <cell r="G53">
            <v>8</v>
          </cell>
          <cell r="H53">
            <v>0.45</v>
          </cell>
          <cell r="I53">
            <v>3.6</v>
          </cell>
        </row>
      </sheetData>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ontent"/>
      <sheetName val="Project Outline"/>
      <sheetName val="주요공사"/>
      <sheetName val="Contractual Amount"/>
      <sheetName val="시헹예산"/>
      <sheetName val="TENDER vs BUDGET"/>
      <sheetName val="직영 vs 하청 - 2"/>
      <sheetName val="96 당초Schedule"/>
      <sheetName val="96 Performance"/>
      <sheetName val="소화-투입 분석표"/>
      <sheetName val="STF ORG(K)"/>
      <sheetName val="Staff Org. Chart"/>
      <sheetName val="Scope of Work"/>
      <sheetName val="Design Status"/>
      <sheetName val="DWG Status"/>
      <sheetName val="MAT'L Status"/>
      <sheetName val="장비동원"/>
      <sheetName val="근로자동원"/>
      <sheetName val="Install Status"/>
      <sheetName val="Staff Mob. Plan"/>
      <sheetName val="M.P Mob. Plan"/>
      <sheetName val="Eq. Mobiliz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현장배관물량집계"/>
      <sheetName val="현장SUPP'T물량집계"/>
      <sheetName val="Valve집계"/>
      <sheetName val="현장배관물량"/>
      <sheetName val="현장지지물물량"/>
      <sheetName val="현장집계3"/>
      <sheetName val="Sheet1"/>
      <sheetName val="DJ1"/>
      <sheetName val="CMA Calculations"/>
    </sheetNames>
    <sheetDataSet>
      <sheetData sheetId="0" refreshError="1"/>
      <sheetData sheetId="1" refreshError="1"/>
      <sheetData sheetId="2" refreshError="1"/>
      <sheetData sheetId="3" refreshError="1"/>
      <sheetData sheetId="4" refreshError="1">
        <row r="1">
          <cell r="F1" t="str">
            <v>*********************************</v>
          </cell>
        </row>
        <row r="2">
          <cell r="F2" t="str">
            <v>*****   FIELD FAB. SUPPORT  *****</v>
          </cell>
        </row>
        <row r="3">
          <cell r="F3" t="str">
            <v>*********************************</v>
          </cell>
        </row>
        <row r="4">
          <cell r="A4" t="str">
            <v>=</v>
          </cell>
          <cell r="B4" t="str">
            <v>=</v>
          </cell>
          <cell r="C4" t="str">
            <v>=</v>
          </cell>
          <cell r="D4" t="str">
            <v>=</v>
          </cell>
          <cell r="E4" t="str">
            <v>=</v>
          </cell>
          <cell r="F4" t="str">
            <v>=</v>
          </cell>
          <cell r="G4" t="str">
            <v>=</v>
          </cell>
          <cell r="H4" t="str">
            <v>=</v>
          </cell>
          <cell r="I4" t="str">
            <v>=</v>
          </cell>
          <cell r="J4" t="str">
            <v>=</v>
          </cell>
          <cell r="K4" t="str">
            <v>=</v>
          </cell>
          <cell r="L4" t="str">
            <v>=</v>
          </cell>
          <cell r="M4" t="str">
            <v>=</v>
          </cell>
          <cell r="N4" t="str">
            <v>=</v>
          </cell>
          <cell r="Q4" t="str">
            <v>=</v>
          </cell>
        </row>
        <row r="5">
          <cell r="A5" t="str">
            <v>DWG.NO.</v>
          </cell>
          <cell r="B5" t="str">
            <v>SPEC</v>
          </cell>
          <cell r="C5" t="str">
            <v>ITEM</v>
          </cell>
          <cell r="D5" t="str">
            <v>MATERIAL</v>
          </cell>
          <cell r="E5" t="str">
            <v xml:space="preserve">    SIZE</v>
          </cell>
          <cell r="F5" t="str">
            <v>LANGTH</v>
          </cell>
          <cell r="G5" t="str">
            <v>SYS.-DIA</v>
          </cell>
          <cell r="H5" t="str">
            <v>TOTAL</v>
          </cell>
          <cell r="I5" t="str">
            <v>ELEVATION</v>
          </cell>
          <cell r="K5" t="str">
            <v>IN/OUT</v>
          </cell>
          <cell r="L5" t="str">
            <v>UNIT WT</v>
          </cell>
          <cell r="M5" t="str">
            <v>TOTAL WT</v>
          </cell>
          <cell r="N5" t="str">
            <v>REMARK</v>
          </cell>
          <cell r="P5" t="str">
            <v>SET</v>
          </cell>
          <cell r="Q5" t="str">
            <v>Q'TY</v>
          </cell>
        </row>
        <row r="6">
          <cell r="A6" t="str">
            <v>=</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t="str">
            <v>=</v>
          </cell>
          <cell r="Q6" t="str">
            <v>=</v>
          </cell>
        </row>
        <row r="8">
          <cell r="A8" t="str">
            <v>03980-001</v>
          </cell>
          <cell r="C8" t="str">
            <v>H-BEAM</v>
          </cell>
          <cell r="D8" t="str">
            <v>C S</v>
          </cell>
          <cell r="E8" t="str">
            <v>H100x100x6x8</v>
          </cell>
          <cell r="F8">
            <v>670</v>
          </cell>
          <cell r="G8" t="str">
            <v>71200- 80</v>
          </cell>
          <cell r="H8">
            <v>1</v>
          </cell>
          <cell r="I8" t="str">
            <v>7150/5900</v>
          </cell>
        </row>
        <row r="9">
          <cell r="A9" t="str">
            <v>03980-001</v>
          </cell>
          <cell r="C9" t="str">
            <v>H-BEAM</v>
          </cell>
          <cell r="D9" t="str">
            <v>C S</v>
          </cell>
          <cell r="E9" t="str">
            <v>H100x100x6x8</v>
          </cell>
          <cell r="F9">
            <v>820</v>
          </cell>
          <cell r="G9" t="str">
            <v>71200- 80</v>
          </cell>
          <cell r="H9">
            <v>1</v>
          </cell>
          <cell r="I9" t="str">
            <v>7150/5900</v>
          </cell>
        </row>
        <row r="10">
          <cell r="A10" t="str">
            <v>03980-001</v>
          </cell>
          <cell r="C10" t="str">
            <v>CT</v>
          </cell>
          <cell r="D10" t="str">
            <v>C S</v>
          </cell>
          <cell r="E10" t="str">
            <v>CT100x150x6x9</v>
          </cell>
          <cell r="F10">
            <v>300</v>
          </cell>
          <cell r="G10" t="str">
            <v>71200- 80</v>
          </cell>
          <cell r="H10">
            <v>1</v>
          </cell>
          <cell r="I10" t="str">
            <v>7150/5900</v>
          </cell>
        </row>
        <row r="11">
          <cell r="A11" t="str">
            <v>03980-001</v>
          </cell>
          <cell r="C11" t="str">
            <v>PLATE</v>
          </cell>
          <cell r="D11" t="str">
            <v>C S</v>
          </cell>
          <cell r="E11" t="str">
            <v>PL103x70x9t</v>
          </cell>
          <cell r="G11" t="str">
            <v>71200- 80</v>
          </cell>
          <cell r="H11">
            <v>4</v>
          </cell>
          <cell r="I11" t="str">
            <v>7150/5900</v>
          </cell>
        </row>
        <row r="12">
          <cell r="A12" t="str">
            <v>03980-001</v>
          </cell>
          <cell r="C12" t="str">
            <v>CT</v>
          </cell>
          <cell r="D12" t="str">
            <v>C S</v>
          </cell>
          <cell r="E12" t="str">
            <v>CT100x100x5.5x8</v>
          </cell>
          <cell r="F12">
            <v>150</v>
          </cell>
          <cell r="G12" t="str">
            <v>71200- 50</v>
          </cell>
          <cell r="H12">
            <v>1</v>
          </cell>
          <cell r="I12" t="str">
            <v>7150/5900</v>
          </cell>
        </row>
        <row r="14">
          <cell r="A14" t="str">
            <v>03980-002</v>
          </cell>
          <cell r="C14" t="str">
            <v>H-BEAM</v>
          </cell>
          <cell r="D14" t="str">
            <v>C S</v>
          </cell>
          <cell r="E14" t="str">
            <v>H100x100x6x8</v>
          </cell>
          <cell r="F14">
            <v>670</v>
          </cell>
          <cell r="G14" t="str">
            <v>71200- 80</v>
          </cell>
          <cell r="H14">
            <v>1</v>
          </cell>
          <cell r="I14" t="str">
            <v>7150/5900</v>
          </cell>
        </row>
        <row r="15">
          <cell r="A15" t="str">
            <v>03980-002</v>
          </cell>
          <cell r="C15" t="str">
            <v>H-BEAM</v>
          </cell>
          <cell r="D15" t="str">
            <v>C S</v>
          </cell>
          <cell r="E15" t="str">
            <v>H100x100x6x8</v>
          </cell>
          <cell r="F15">
            <v>550</v>
          </cell>
          <cell r="G15" t="str">
            <v>71200- 80</v>
          </cell>
          <cell r="H15">
            <v>1</v>
          </cell>
          <cell r="I15" t="str">
            <v>7150/5900</v>
          </cell>
        </row>
        <row r="16">
          <cell r="A16" t="str">
            <v>03980-002</v>
          </cell>
          <cell r="C16" t="str">
            <v>CT</v>
          </cell>
          <cell r="D16" t="str">
            <v>C S</v>
          </cell>
          <cell r="E16" t="str">
            <v>CT100x150x6x9</v>
          </cell>
          <cell r="F16">
            <v>300</v>
          </cell>
          <cell r="G16" t="str">
            <v>71200- 80</v>
          </cell>
          <cell r="H16">
            <v>1</v>
          </cell>
          <cell r="I16" t="str">
            <v>7150/5900</v>
          </cell>
        </row>
        <row r="17">
          <cell r="A17" t="str">
            <v>03980-002</v>
          </cell>
          <cell r="C17" t="str">
            <v>PLATE</v>
          </cell>
          <cell r="D17" t="str">
            <v>C S</v>
          </cell>
          <cell r="E17" t="str">
            <v>PL103x70x9t</v>
          </cell>
          <cell r="G17" t="str">
            <v>71200- 80</v>
          </cell>
          <cell r="H17">
            <v>4</v>
          </cell>
          <cell r="I17" t="str">
            <v>7150/5900</v>
          </cell>
        </row>
        <row r="19">
          <cell r="A19" t="str">
            <v>03980-003</v>
          </cell>
          <cell r="C19" t="str">
            <v>CT</v>
          </cell>
          <cell r="D19" t="str">
            <v>C S</v>
          </cell>
          <cell r="E19" t="str">
            <v>CT100x150x6x9</v>
          </cell>
          <cell r="F19">
            <v>300</v>
          </cell>
          <cell r="G19" t="str">
            <v>71200- 80</v>
          </cell>
          <cell r="H19">
            <v>1</v>
          </cell>
          <cell r="I19" t="str">
            <v>7150/5900</v>
          </cell>
        </row>
        <row r="20">
          <cell r="A20" t="str">
            <v>03980-003</v>
          </cell>
          <cell r="C20" t="str">
            <v>PLATE</v>
          </cell>
          <cell r="D20" t="str">
            <v>C S</v>
          </cell>
          <cell r="E20" t="str">
            <v>PL103x70x9t</v>
          </cell>
          <cell r="G20" t="str">
            <v>71200- 80</v>
          </cell>
          <cell r="H20">
            <v>8</v>
          </cell>
          <cell r="I20" t="str">
            <v>7150/5900</v>
          </cell>
        </row>
        <row r="21">
          <cell r="A21" t="str">
            <v>03980-003</v>
          </cell>
          <cell r="C21" t="str">
            <v>PLATE</v>
          </cell>
          <cell r="D21" t="str">
            <v>C S</v>
          </cell>
          <cell r="E21" t="str">
            <v>PL100x50x12t</v>
          </cell>
          <cell r="G21" t="str">
            <v>71200- 80</v>
          </cell>
          <cell r="H21">
            <v>4</v>
          </cell>
          <cell r="I21" t="str">
            <v>7150/5900</v>
          </cell>
        </row>
        <row r="22">
          <cell r="A22" t="str">
            <v>03980-003</v>
          </cell>
          <cell r="C22" t="str">
            <v>PLATE</v>
          </cell>
          <cell r="D22" t="str">
            <v>C S</v>
          </cell>
          <cell r="E22" t="str">
            <v>PL80x50x9t</v>
          </cell>
          <cell r="G22" t="str">
            <v>71200- 80</v>
          </cell>
          <cell r="H22">
            <v>4</v>
          </cell>
          <cell r="I22" t="str">
            <v>7150/5900</v>
          </cell>
        </row>
        <row r="24">
          <cell r="A24" t="str">
            <v>03980-004</v>
          </cell>
          <cell r="C24" t="str">
            <v>CT</v>
          </cell>
          <cell r="D24" t="str">
            <v>C S</v>
          </cell>
          <cell r="E24" t="str">
            <v>CT100x150x6x9</v>
          </cell>
          <cell r="F24">
            <v>300</v>
          </cell>
          <cell r="G24" t="str">
            <v>71200- 80</v>
          </cell>
          <cell r="H24">
            <v>1</v>
          </cell>
          <cell r="I24" t="str">
            <v>7150/5900</v>
          </cell>
        </row>
        <row r="25">
          <cell r="A25" t="str">
            <v>03980-004</v>
          </cell>
          <cell r="C25" t="str">
            <v>PLATE</v>
          </cell>
          <cell r="D25" t="str">
            <v>C S</v>
          </cell>
          <cell r="E25" t="str">
            <v>PL103x70x9t</v>
          </cell>
          <cell r="G25" t="str">
            <v>71200- 80</v>
          </cell>
          <cell r="H25">
            <v>4</v>
          </cell>
          <cell r="I25" t="str">
            <v>7150/5900</v>
          </cell>
        </row>
        <row r="27">
          <cell r="A27" t="str">
            <v>03980-005</v>
          </cell>
          <cell r="C27" t="str">
            <v>H-BEAM</v>
          </cell>
          <cell r="D27" t="str">
            <v>C S</v>
          </cell>
          <cell r="E27" t="str">
            <v>H100x100x6x8</v>
          </cell>
          <cell r="F27">
            <v>450</v>
          </cell>
          <cell r="G27" t="str">
            <v>71200- 80</v>
          </cell>
          <cell r="H27">
            <v>1</v>
          </cell>
          <cell r="I27" t="str">
            <v>7150/5900</v>
          </cell>
        </row>
        <row r="28">
          <cell r="A28" t="str">
            <v>03980-005</v>
          </cell>
          <cell r="C28" t="str">
            <v>3-BOLT PIPE CLAMP</v>
          </cell>
          <cell r="D28" t="str">
            <v>C S</v>
          </cell>
          <cell r="E28" t="str">
            <v>DN 80</v>
          </cell>
          <cell r="G28" t="str">
            <v>71200- 80</v>
          </cell>
          <cell r="H28">
            <v>1</v>
          </cell>
          <cell r="I28" t="str">
            <v>7150/5900</v>
          </cell>
        </row>
        <row r="29">
          <cell r="A29" t="str">
            <v>03980-005</v>
          </cell>
          <cell r="C29" t="str">
            <v>WEL'D BEAM ATTACH.</v>
          </cell>
          <cell r="D29" t="str">
            <v>C S</v>
          </cell>
          <cell r="E29" t="str">
            <v>M12</v>
          </cell>
          <cell r="G29" t="str">
            <v>71200- 80</v>
          </cell>
          <cell r="H29">
            <v>1</v>
          </cell>
          <cell r="I29" t="str">
            <v>7150/5900</v>
          </cell>
        </row>
        <row r="30">
          <cell r="A30" t="str">
            <v>03980-005</v>
          </cell>
          <cell r="C30" t="str">
            <v>EYE NUT</v>
          </cell>
          <cell r="D30" t="str">
            <v>C S</v>
          </cell>
          <cell r="E30" t="str">
            <v>M12</v>
          </cell>
          <cell r="G30" t="str">
            <v>71200- 80</v>
          </cell>
          <cell r="H30">
            <v>2</v>
          </cell>
          <cell r="I30" t="str">
            <v>7150/5900</v>
          </cell>
        </row>
        <row r="31">
          <cell r="A31" t="str">
            <v>03980-005</v>
          </cell>
          <cell r="C31" t="str">
            <v>THR'D ROD R.H</v>
          </cell>
          <cell r="D31" t="str">
            <v>C S</v>
          </cell>
          <cell r="E31" t="str">
            <v>M12</v>
          </cell>
          <cell r="F31">
            <v>1000</v>
          </cell>
          <cell r="G31" t="str">
            <v>71200- 80</v>
          </cell>
          <cell r="H31">
            <v>1</v>
          </cell>
          <cell r="I31" t="str">
            <v>7150/5900</v>
          </cell>
        </row>
        <row r="32">
          <cell r="A32" t="str">
            <v>03980-005</v>
          </cell>
          <cell r="C32" t="str">
            <v>TURNBUCKLE</v>
          </cell>
          <cell r="D32" t="str">
            <v>C S</v>
          </cell>
          <cell r="E32" t="str">
            <v>M12</v>
          </cell>
          <cell r="G32" t="str">
            <v>71200- 80</v>
          </cell>
          <cell r="H32">
            <v>1</v>
          </cell>
          <cell r="I32" t="str">
            <v>7150/5900</v>
          </cell>
        </row>
        <row r="33">
          <cell r="A33" t="str">
            <v>03980-005</v>
          </cell>
          <cell r="C33" t="str">
            <v>THR'D ROD R.H&amp;L.H</v>
          </cell>
          <cell r="D33" t="str">
            <v>C S</v>
          </cell>
          <cell r="E33" t="str">
            <v>M12</v>
          </cell>
          <cell r="F33">
            <v>980</v>
          </cell>
          <cell r="G33" t="str">
            <v>71200- 80</v>
          </cell>
          <cell r="H33">
            <v>1</v>
          </cell>
          <cell r="I33" t="str">
            <v>7150/5900</v>
          </cell>
        </row>
        <row r="35">
          <cell r="A35" t="str">
            <v>03980-006</v>
          </cell>
          <cell r="C35" t="str">
            <v>H-BEAM</v>
          </cell>
          <cell r="D35" t="str">
            <v>C S</v>
          </cell>
          <cell r="E35" t="str">
            <v>H100x100x6x8</v>
          </cell>
          <cell r="F35">
            <v>550</v>
          </cell>
          <cell r="G35" t="str">
            <v>71200- 80</v>
          </cell>
          <cell r="H35">
            <v>1</v>
          </cell>
          <cell r="I35" t="str">
            <v>7150/5900</v>
          </cell>
        </row>
        <row r="36">
          <cell r="A36" t="str">
            <v>03980-006</v>
          </cell>
          <cell r="C36" t="str">
            <v>CT</v>
          </cell>
          <cell r="D36" t="str">
            <v>C S</v>
          </cell>
          <cell r="E36" t="str">
            <v>CT100x150x6x9</v>
          </cell>
          <cell r="F36">
            <v>300</v>
          </cell>
          <cell r="G36" t="str">
            <v>71200- 80</v>
          </cell>
          <cell r="H36">
            <v>1</v>
          </cell>
          <cell r="I36" t="str">
            <v>7150/5900</v>
          </cell>
        </row>
        <row r="37">
          <cell r="A37" t="str">
            <v>03980-006</v>
          </cell>
          <cell r="C37" t="str">
            <v>PLATE</v>
          </cell>
          <cell r="D37" t="str">
            <v>C S</v>
          </cell>
          <cell r="E37" t="str">
            <v>PL103x70x9t</v>
          </cell>
          <cell r="G37" t="str">
            <v>71200- 80</v>
          </cell>
          <cell r="H37">
            <v>4</v>
          </cell>
          <cell r="I37" t="str">
            <v>7150/5900</v>
          </cell>
        </row>
        <row r="38">
          <cell r="A38" t="str">
            <v>03980-006</v>
          </cell>
          <cell r="C38" t="str">
            <v>PLATE</v>
          </cell>
          <cell r="D38" t="str">
            <v>C S</v>
          </cell>
          <cell r="E38" t="str">
            <v>PL100x50x12t</v>
          </cell>
          <cell r="G38" t="str">
            <v>71200- 80</v>
          </cell>
          <cell r="H38">
            <v>2</v>
          </cell>
          <cell r="I38" t="str">
            <v>7150/5900</v>
          </cell>
        </row>
        <row r="39">
          <cell r="A39" t="str">
            <v>03980-006</v>
          </cell>
          <cell r="C39" t="str">
            <v>PLATE</v>
          </cell>
          <cell r="D39" t="str">
            <v>C S</v>
          </cell>
          <cell r="E39" t="str">
            <v>PL80x50x9t</v>
          </cell>
          <cell r="G39" t="str">
            <v>71200- 80</v>
          </cell>
          <cell r="H39">
            <v>2</v>
          </cell>
          <cell r="I39" t="str">
            <v>7150/5900</v>
          </cell>
        </row>
        <row r="41">
          <cell r="A41" t="str">
            <v>03980-007</v>
          </cell>
          <cell r="C41" t="str">
            <v>CHANNEL</v>
          </cell>
          <cell r="D41" t="str">
            <v>C S</v>
          </cell>
          <cell r="E41" t="str">
            <v>C100x50x5x7.5</v>
          </cell>
          <cell r="F41">
            <v>200</v>
          </cell>
          <cell r="G41" t="str">
            <v>71200- 80</v>
          </cell>
          <cell r="H41">
            <v>1</v>
          </cell>
        </row>
        <row r="42">
          <cell r="A42" t="str">
            <v>03980-007</v>
          </cell>
          <cell r="C42" t="str">
            <v>CT</v>
          </cell>
          <cell r="D42" t="str">
            <v>C S</v>
          </cell>
          <cell r="E42" t="str">
            <v>CT100x150x6x9</v>
          </cell>
          <cell r="F42">
            <v>300</v>
          </cell>
          <cell r="G42" t="str">
            <v>71200- 80</v>
          </cell>
          <cell r="H42">
            <v>1</v>
          </cell>
        </row>
        <row r="43">
          <cell r="A43" t="str">
            <v>03980-007</v>
          </cell>
          <cell r="C43" t="str">
            <v>PLATE</v>
          </cell>
          <cell r="D43" t="str">
            <v>C S</v>
          </cell>
          <cell r="E43" t="str">
            <v>PL103x70x9t</v>
          </cell>
          <cell r="G43" t="str">
            <v>71200- 80</v>
          </cell>
          <cell r="H43">
            <v>4</v>
          </cell>
          <cell r="I43" t="str">
            <v>7150/5900</v>
          </cell>
        </row>
        <row r="45">
          <cell r="A45" t="str">
            <v>03980-008</v>
          </cell>
          <cell r="C45" t="str">
            <v>CHANNEL</v>
          </cell>
          <cell r="D45" t="str">
            <v>C S</v>
          </cell>
          <cell r="E45" t="str">
            <v>C100x50x5x7.5</v>
          </cell>
          <cell r="F45">
            <v>300</v>
          </cell>
          <cell r="G45" t="str">
            <v>71200- 80</v>
          </cell>
          <cell r="H45">
            <v>1</v>
          </cell>
        </row>
        <row r="46">
          <cell r="A46" t="str">
            <v>03980-008</v>
          </cell>
          <cell r="C46" t="str">
            <v>CT</v>
          </cell>
          <cell r="D46" t="str">
            <v>C S</v>
          </cell>
          <cell r="E46" t="str">
            <v>CT100x150x6x9</v>
          </cell>
          <cell r="F46">
            <v>300</v>
          </cell>
          <cell r="G46" t="str">
            <v>71200- 80</v>
          </cell>
          <cell r="H46">
            <v>1</v>
          </cell>
        </row>
        <row r="47">
          <cell r="A47" t="str">
            <v>03980-008</v>
          </cell>
          <cell r="C47" t="str">
            <v>PLATE</v>
          </cell>
          <cell r="D47" t="str">
            <v>C S</v>
          </cell>
          <cell r="E47" t="str">
            <v>PL103x70x9t</v>
          </cell>
          <cell r="G47" t="str">
            <v>71200- 80</v>
          </cell>
          <cell r="H47">
            <v>4</v>
          </cell>
          <cell r="I47" t="str">
            <v>7150/5900</v>
          </cell>
        </row>
        <row r="48">
          <cell r="A48" t="str">
            <v>03980-008</v>
          </cell>
          <cell r="C48" t="str">
            <v>PLATE</v>
          </cell>
          <cell r="D48" t="str">
            <v>C S</v>
          </cell>
          <cell r="E48" t="str">
            <v>PL100x50x12t</v>
          </cell>
          <cell r="G48" t="str">
            <v>71200- 80</v>
          </cell>
          <cell r="H48">
            <v>2</v>
          </cell>
          <cell r="I48" t="str">
            <v>7150/5900</v>
          </cell>
        </row>
        <row r="49">
          <cell r="A49" t="str">
            <v>03980-008</v>
          </cell>
          <cell r="C49" t="str">
            <v>PLATE</v>
          </cell>
          <cell r="D49" t="str">
            <v>C S</v>
          </cell>
          <cell r="E49" t="str">
            <v>PL80x50x9t</v>
          </cell>
          <cell r="G49" t="str">
            <v>71200- 80</v>
          </cell>
          <cell r="H49">
            <v>2</v>
          </cell>
          <cell r="I49" t="str">
            <v>7150/5900</v>
          </cell>
        </row>
        <row r="51">
          <cell r="A51" t="str">
            <v>03980-009</v>
          </cell>
          <cell r="C51" t="str">
            <v>CT</v>
          </cell>
          <cell r="D51" t="str">
            <v>C S</v>
          </cell>
          <cell r="E51" t="str">
            <v>CT100x150x6x9</v>
          </cell>
          <cell r="F51">
            <v>300</v>
          </cell>
          <cell r="G51" t="str">
            <v>71200- 80</v>
          </cell>
          <cell r="H51">
            <v>1</v>
          </cell>
        </row>
        <row r="52">
          <cell r="A52" t="str">
            <v>03980-009</v>
          </cell>
          <cell r="C52" t="str">
            <v>PLATE</v>
          </cell>
          <cell r="D52" t="str">
            <v>C S</v>
          </cell>
          <cell r="E52" t="str">
            <v>PL103x70x9t</v>
          </cell>
          <cell r="G52" t="str">
            <v>71200- 80</v>
          </cell>
          <cell r="H52">
            <v>4</v>
          </cell>
          <cell r="I52" t="str">
            <v>7150/5900</v>
          </cell>
        </row>
        <row r="54">
          <cell r="A54" t="str">
            <v>03980-010</v>
          </cell>
          <cell r="C54" t="str">
            <v>CT</v>
          </cell>
          <cell r="D54" t="str">
            <v>C S</v>
          </cell>
          <cell r="E54" t="str">
            <v>CT100x150x6x9</v>
          </cell>
          <cell r="F54">
            <v>300</v>
          </cell>
          <cell r="G54" t="str">
            <v>71200- 80</v>
          </cell>
          <cell r="H54">
            <v>6</v>
          </cell>
        </row>
        <row r="55">
          <cell r="A55" t="str">
            <v>03980-010</v>
          </cell>
          <cell r="C55" t="str">
            <v>PLATE</v>
          </cell>
          <cell r="D55" t="str">
            <v>C S</v>
          </cell>
          <cell r="E55" t="str">
            <v>PL103x70x9t</v>
          </cell>
          <cell r="G55" t="str">
            <v>71200- 80</v>
          </cell>
          <cell r="H55">
            <v>24</v>
          </cell>
          <cell r="I55" t="str">
            <v>7150/5900</v>
          </cell>
        </row>
        <row r="57">
          <cell r="A57" t="str">
            <v>03980-011</v>
          </cell>
          <cell r="C57" t="str">
            <v>PIPE STD WT</v>
          </cell>
          <cell r="D57" t="str">
            <v>C S</v>
          </cell>
          <cell r="E57" t="str">
            <v>DN 50</v>
          </cell>
          <cell r="F57">
            <v>103</v>
          </cell>
          <cell r="G57" t="str">
            <v>71200- 80</v>
          </cell>
          <cell r="H57">
            <v>2</v>
          </cell>
        </row>
        <row r="58">
          <cell r="A58" t="str">
            <v>03980-011</v>
          </cell>
          <cell r="C58" t="str">
            <v>PLATE</v>
          </cell>
          <cell r="D58" t="str">
            <v>C S</v>
          </cell>
          <cell r="E58" t="str">
            <v>PL110x110x6t</v>
          </cell>
          <cell r="G58" t="str">
            <v>71200- 80</v>
          </cell>
          <cell r="H58">
            <v>2</v>
          </cell>
          <cell r="I58" t="str">
            <v>7150/5900</v>
          </cell>
        </row>
        <row r="60">
          <cell r="A60" t="str">
            <v>03980-012</v>
          </cell>
          <cell r="C60" t="str">
            <v>CT</v>
          </cell>
          <cell r="D60" t="str">
            <v>C S</v>
          </cell>
          <cell r="E60" t="str">
            <v>CT100x150x6x9</v>
          </cell>
          <cell r="F60">
            <v>300</v>
          </cell>
          <cell r="G60" t="str">
            <v>71200- 80</v>
          </cell>
          <cell r="H60">
            <v>2</v>
          </cell>
          <cell r="I60" t="str">
            <v>7150/5900</v>
          </cell>
        </row>
        <row r="61">
          <cell r="A61" t="str">
            <v>03980-012</v>
          </cell>
          <cell r="C61" t="str">
            <v>PLATE</v>
          </cell>
          <cell r="D61" t="str">
            <v>C S</v>
          </cell>
          <cell r="E61" t="str">
            <v>PL103x70x9t</v>
          </cell>
          <cell r="G61" t="str">
            <v>71200- 80</v>
          </cell>
          <cell r="H61">
            <v>8</v>
          </cell>
          <cell r="I61" t="str">
            <v>7150/5900</v>
          </cell>
        </row>
        <row r="62">
          <cell r="A62" t="str">
            <v>03980-012</v>
          </cell>
          <cell r="C62" t="str">
            <v>PLATE</v>
          </cell>
          <cell r="D62" t="str">
            <v>C S</v>
          </cell>
          <cell r="E62" t="str">
            <v>PL100x50x12t</v>
          </cell>
          <cell r="G62" t="str">
            <v>71200- 80</v>
          </cell>
          <cell r="H62">
            <v>4</v>
          </cell>
          <cell r="I62" t="str">
            <v>7150/5900</v>
          </cell>
        </row>
        <row r="63">
          <cell r="A63" t="str">
            <v>03980-012</v>
          </cell>
          <cell r="C63" t="str">
            <v>PLATE</v>
          </cell>
          <cell r="D63" t="str">
            <v>C S</v>
          </cell>
          <cell r="E63" t="str">
            <v>PL80x50x9t</v>
          </cell>
          <cell r="G63" t="str">
            <v>71200- 80</v>
          </cell>
          <cell r="H63">
            <v>4</v>
          </cell>
          <cell r="I63" t="str">
            <v>7150/5900</v>
          </cell>
        </row>
        <row r="65">
          <cell r="A65" t="str">
            <v>03980-013</v>
          </cell>
          <cell r="C65" t="str">
            <v>CHANNEL</v>
          </cell>
          <cell r="D65" t="str">
            <v>C S</v>
          </cell>
          <cell r="E65" t="str">
            <v>C100x50x5x7.5</v>
          </cell>
          <cell r="F65">
            <v>200</v>
          </cell>
          <cell r="G65" t="str">
            <v>71200- 80</v>
          </cell>
          <cell r="H65">
            <v>5</v>
          </cell>
        </row>
        <row r="66">
          <cell r="A66" t="str">
            <v>03980-013</v>
          </cell>
          <cell r="C66" t="str">
            <v>CT</v>
          </cell>
          <cell r="D66" t="str">
            <v>C S</v>
          </cell>
          <cell r="E66" t="str">
            <v>CT100x150x6x9</v>
          </cell>
          <cell r="F66">
            <v>300</v>
          </cell>
          <cell r="G66" t="str">
            <v>71200- 80</v>
          </cell>
          <cell r="H66">
            <v>5</v>
          </cell>
        </row>
        <row r="67">
          <cell r="A67" t="str">
            <v>03980-013</v>
          </cell>
          <cell r="C67" t="str">
            <v>PLATE</v>
          </cell>
          <cell r="D67" t="str">
            <v>C S</v>
          </cell>
          <cell r="E67" t="str">
            <v>PL103x70x9t</v>
          </cell>
          <cell r="G67" t="str">
            <v>71200- 80</v>
          </cell>
          <cell r="H67">
            <v>20</v>
          </cell>
          <cell r="I67" t="str">
            <v>7150/5900</v>
          </cell>
        </row>
        <row r="69">
          <cell r="A69" t="str">
            <v>03980-014</v>
          </cell>
          <cell r="C69" t="str">
            <v>H-BEAM</v>
          </cell>
          <cell r="D69" t="str">
            <v>C S</v>
          </cell>
          <cell r="E69" t="str">
            <v>H100x100x6x8</v>
          </cell>
          <cell r="F69">
            <v>970</v>
          </cell>
          <cell r="G69" t="str">
            <v>71200- 80</v>
          </cell>
          <cell r="H69">
            <v>2</v>
          </cell>
          <cell r="I69" t="str">
            <v>7150/5900</v>
          </cell>
        </row>
        <row r="70">
          <cell r="A70" t="str">
            <v>03980-014</v>
          </cell>
          <cell r="C70" t="str">
            <v>CT</v>
          </cell>
          <cell r="D70" t="str">
            <v>C S</v>
          </cell>
          <cell r="E70" t="str">
            <v>CT100x150x6x9</v>
          </cell>
          <cell r="F70">
            <v>300</v>
          </cell>
          <cell r="G70" t="str">
            <v>71200- 80</v>
          </cell>
          <cell r="H70">
            <v>2</v>
          </cell>
          <cell r="I70" t="str">
            <v>7150/5900</v>
          </cell>
        </row>
        <row r="71">
          <cell r="A71" t="str">
            <v>03980-014</v>
          </cell>
          <cell r="C71" t="str">
            <v>PLATE</v>
          </cell>
          <cell r="D71" t="str">
            <v>C S</v>
          </cell>
          <cell r="E71" t="str">
            <v>PL103x70x9t</v>
          </cell>
          <cell r="G71" t="str">
            <v>71200- 80</v>
          </cell>
          <cell r="H71">
            <v>8</v>
          </cell>
          <cell r="I71" t="str">
            <v>7150/5900</v>
          </cell>
        </row>
        <row r="73">
          <cell r="A73" t="str">
            <v>03980-015</v>
          </cell>
          <cell r="C73" t="str">
            <v>H-BEAM</v>
          </cell>
          <cell r="D73" t="str">
            <v>C S</v>
          </cell>
          <cell r="E73" t="str">
            <v>H100x100x6x8</v>
          </cell>
          <cell r="F73">
            <v>970</v>
          </cell>
          <cell r="G73" t="str">
            <v>71200- 80</v>
          </cell>
          <cell r="H73">
            <v>1</v>
          </cell>
          <cell r="I73" t="str">
            <v>7150/5900</v>
          </cell>
        </row>
        <row r="74">
          <cell r="A74" t="str">
            <v>03980-015</v>
          </cell>
          <cell r="C74" t="str">
            <v>CT</v>
          </cell>
          <cell r="D74" t="str">
            <v>C S</v>
          </cell>
          <cell r="E74" t="str">
            <v>CT100x150x6x9</v>
          </cell>
          <cell r="F74">
            <v>300</v>
          </cell>
          <cell r="G74" t="str">
            <v>71200- 80</v>
          </cell>
          <cell r="H74">
            <v>1</v>
          </cell>
          <cell r="I74" t="str">
            <v>7150/5900</v>
          </cell>
        </row>
        <row r="75">
          <cell r="A75" t="str">
            <v>03980-015</v>
          </cell>
          <cell r="C75" t="str">
            <v>PLATE</v>
          </cell>
          <cell r="D75" t="str">
            <v>C S</v>
          </cell>
          <cell r="E75" t="str">
            <v>PL103x70x9t</v>
          </cell>
          <cell r="G75" t="str">
            <v>71200- 80</v>
          </cell>
          <cell r="H75">
            <v>4</v>
          </cell>
          <cell r="I75" t="str">
            <v>7150/5900</v>
          </cell>
        </row>
        <row r="76">
          <cell r="A76" t="str">
            <v>03980-015</v>
          </cell>
          <cell r="C76" t="str">
            <v>PLATE</v>
          </cell>
          <cell r="D76" t="str">
            <v>C S</v>
          </cell>
          <cell r="E76" t="str">
            <v>PL100x50x12t</v>
          </cell>
          <cell r="G76" t="str">
            <v>71200- 80</v>
          </cell>
          <cell r="H76">
            <v>2</v>
          </cell>
          <cell r="I76" t="str">
            <v>7150/5900</v>
          </cell>
        </row>
        <row r="77">
          <cell r="A77" t="str">
            <v>03980-015</v>
          </cell>
          <cell r="C77" t="str">
            <v>PLATE</v>
          </cell>
          <cell r="D77" t="str">
            <v>C S</v>
          </cell>
          <cell r="E77" t="str">
            <v>PL80x50x9t</v>
          </cell>
          <cell r="G77" t="str">
            <v>71200- 80</v>
          </cell>
          <cell r="H77">
            <v>2</v>
          </cell>
          <cell r="I77" t="str">
            <v>7150/5900</v>
          </cell>
        </row>
        <row r="79">
          <cell r="A79" t="str">
            <v>03980-016</v>
          </cell>
          <cell r="C79" t="str">
            <v>CHANNEL</v>
          </cell>
          <cell r="D79" t="str">
            <v>C S</v>
          </cell>
          <cell r="E79" t="str">
            <v>C100x50x5x7.5</v>
          </cell>
          <cell r="F79">
            <v>300</v>
          </cell>
          <cell r="G79" t="str">
            <v>71200- 80</v>
          </cell>
          <cell r="H79">
            <v>1</v>
          </cell>
        </row>
        <row r="80">
          <cell r="A80" t="str">
            <v>03980-016</v>
          </cell>
          <cell r="C80" t="str">
            <v>CT</v>
          </cell>
          <cell r="D80" t="str">
            <v>C S</v>
          </cell>
          <cell r="E80" t="str">
            <v>CT100x150x6x9</v>
          </cell>
          <cell r="F80">
            <v>300</v>
          </cell>
          <cell r="G80" t="str">
            <v>71200- 80</v>
          </cell>
          <cell r="H80">
            <v>1</v>
          </cell>
        </row>
        <row r="81">
          <cell r="A81" t="str">
            <v>03980-016</v>
          </cell>
          <cell r="C81" t="str">
            <v>PLATE</v>
          </cell>
          <cell r="D81" t="str">
            <v>C S</v>
          </cell>
          <cell r="E81" t="str">
            <v>PL103x70x9t</v>
          </cell>
          <cell r="G81" t="str">
            <v>71200- 80</v>
          </cell>
          <cell r="H81">
            <v>4</v>
          </cell>
          <cell r="I81" t="str">
            <v>7150/5900</v>
          </cell>
        </row>
        <row r="82">
          <cell r="A82" t="str">
            <v>03980-016</v>
          </cell>
          <cell r="C82" t="str">
            <v>PLATE</v>
          </cell>
          <cell r="D82" t="str">
            <v>C S</v>
          </cell>
          <cell r="E82" t="str">
            <v>PL100x50x12t</v>
          </cell>
          <cell r="G82" t="str">
            <v>71200- 80</v>
          </cell>
          <cell r="H82">
            <v>2</v>
          </cell>
          <cell r="I82" t="str">
            <v>7150/5900</v>
          </cell>
        </row>
        <row r="83">
          <cell r="A83" t="str">
            <v>03980-016</v>
          </cell>
          <cell r="C83" t="str">
            <v>PLATE</v>
          </cell>
          <cell r="D83" t="str">
            <v>C S</v>
          </cell>
          <cell r="E83" t="str">
            <v>PL80x50x9t</v>
          </cell>
          <cell r="G83" t="str">
            <v>71200- 80</v>
          </cell>
          <cell r="H83">
            <v>2</v>
          </cell>
          <cell r="I83" t="str">
            <v>7150/5900</v>
          </cell>
        </row>
        <row r="85">
          <cell r="A85" t="str">
            <v>03980-017</v>
          </cell>
          <cell r="C85" t="str">
            <v>H-BEAM</v>
          </cell>
          <cell r="D85" t="str">
            <v>C S</v>
          </cell>
          <cell r="E85" t="str">
            <v>H100x100x6x8</v>
          </cell>
          <cell r="F85">
            <v>290</v>
          </cell>
          <cell r="G85" t="str">
            <v>71200- 80</v>
          </cell>
          <cell r="H85">
            <v>4</v>
          </cell>
          <cell r="I85" t="str">
            <v>7150/5900</v>
          </cell>
        </row>
        <row r="86">
          <cell r="A86" t="str">
            <v>03980-017</v>
          </cell>
          <cell r="C86" t="str">
            <v>CT</v>
          </cell>
          <cell r="D86" t="str">
            <v>C S</v>
          </cell>
          <cell r="E86" t="str">
            <v>CT100x150x6x9</v>
          </cell>
          <cell r="F86">
            <v>300</v>
          </cell>
          <cell r="G86" t="str">
            <v>71200- 80</v>
          </cell>
          <cell r="H86">
            <v>4</v>
          </cell>
          <cell r="I86" t="str">
            <v>7150/5900</v>
          </cell>
        </row>
        <row r="87">
          <cell r="A87" t="str">
            <v>03980-017</v>
          </cell>
          <cell r="C87" t="str">
            <v>PLATE</v>
          </cell>
          <cell r="D87" t="str">
            <v>C S</v>
          </cell>
          <cell r="E87" t="str">
            <v>PL103x70x9t</v>
          </cell>
          <cell r="G87" t="str">
            <v>71200- 80</v>
          </cell>
          <cell r="H87">
            <v>16</v>
          </cell>
          <cell r="I87" t="str">
            <v>7150/5900</v>
          </cell>
        </row>
        <row r="88">
          <cell r="A88" t="str">
            <v>03980-017</v>
          </cell>
          <cell r="C88" t="str">
            <v>PLATE</v>
          </cell>
          <cell r="D88" t="str">
            <v>C S</v>
          </cell>
          <cell r="E88" t="str">
            <v>PL250x250x12t</v>
          </cell>
          <cell r="G88" t="str">
            <v>71200- 80</v>
          </cell>
          <cell r="H88">
            <v>4</v>
          </cell>
          <cell r="I88" t="str">
            <v>7150/5900</v>
          </cell>
        </row>
        <row r="89">
          <cell r="A89" t="str">
            <v>03980-017</v>
          </cell>
          <cell r="C89" t="str">
            <v>ANCHOR BOLT</v>
          </cell>
          <cell r="D89" t="str">
            <v>C S</v>
          </cell>
          <cell r="E89" t="str">
            <v>M12x118L</v>
          </cell>
          <cell r="G89" t="str">
            <v>71200- 80</v>
          </cell>
          <cell r="H89">
            <v>16</v>
          </cell>
          <cell r="I89" t="str">
            <v>7150/5900</v>
          </cell>
        </row>
        <row r="91">
          <cell r="A91" t="str">
            <v>03980-018</v>
          </cell>
          <cell r="C91" t="str">
            <v>H-BEAM</v>
          </cell>
          <cell r="D91" t="str">
            <v>C S</v>
          </cell>
          <cell r="E91" t="str">
            <v>H100x100x6x8</v>
          </cell>
          <cell r="F91">
            <v>270</v>
          </cell>
          <cell r="G91" t="str">
            <v>71200- 80</v>
          </cell>
          <cell r="H91">
            <v>2</v>
          </cell>
          <cell r="I91" t="str">
            <v>7150/5900</v>
          </cell>
        </row>
        <row r="92">
          <cell r="A92" t="str">
            <v>03980-018</v>
          </cell>
          <cell r="C92" t="str">
            <v>PIPE STD WT</v>
          </cell>
          <cell r="D92" t="str">
            <v>C S</v>
          </cell>
          <cell r="E92" t="str">
            <v>DN 50</v>
          </cell>
          <cell r="F92">
            <v>103</v>
          </cell>
          <cell r="G92" t="str">
            <v>71200- 80</v>
          </cell>
          <cell r="H92">
            <v>2</v>
          </cell>
          <cell r="I92" t="str">
            <v>7150/5900</v>
          </cell>
        </row>
        <row r="93">
          <cell r="A93" t="str">
            <v>03980-018</v>
          </cell>
          <cell r="C93" t="str">
            <v>PLATE</v>
          </cell>
          <cell r="D93" t="str">
            <v>C S</v>
          </cell>
          <cell r="E93" t="str">
            <v>PL110x110x6t</v>
          </cell>
          <cell r="G93" t="str">
            <v>71200- 80</v>
          </cell>
          <cell r="H93">
            <v>2</v>
          </cell>
          <cell r="I93" t="str">
            <v>7150/5900</v>
          </cell>
        </row>
        <row r="94">
          <cell r="A94" t="str">
            <v>03980-018</v>
          </cell>
          <cell r="C94" t="str">
            <v>PLATE</v>
          </cell>
          <cell r="D94" t="str">
            <v>C S</v>
          </cell>
          <cell r="E94" t="str">
            <v>PL250x250x12t</v>
          </cell>
          <cell r="G94" t="str">
            <v>71200- 80</v>
          </cell>
          <cell r="H94">
            <v>2</v>
          </cell>
          <cell r="I94" t="str">
            <v>7150/5900</v>
          </cell>
        </row>
        <row r="95">
          <cell r="A95" t="str">
            <v>03980-018</v>
          </cell>
          <cell r="C95" t="str">
            <v>ANCHOR BOLT</v>
          </cell>
          <cell r="D95" t="str">
            <v>C S</v>
          </cell>
          <cell r="E95" t="str">
            <v>M12x118L</v>
          </cell>
          <cell r="G95" t="str">
            <v>71200- 80</v>
          </cell>
          <cell r="H95">
            <v>8</v>
          </cell>
          <cell r="I95" t="str">
            <v>7150/5900</v>
          </cell>
        </row>
        <row r="97">
          <cell r="A97" t="str">
            <v>03980-019</v>
          </cell>
          <cell r="C97" t="str">
            <v>H-BEAM</v>
          </cell>
          <cell r="D97" t="str">
            <v>C S</v>
          </cell>
          <cell r="E97" t="str">
            <v>H100x100x6x8</v>
          </cell>
          <cell r="F97">
            <v>340</v>
          </cell>
          <cell r="G97" t="str">
            <v>71200- 80</v>
          </cell>
          <cell r="H97">
            <v>2</v>
          </cell>
          <cell r="I97" t="str">
            <v>7150/5900</v>
          </cell>
        </row>
        <row r="98">
          <cell r="A98" t="str">
            <v>03980-019</v>
          </cell>
          <cell r="C98" t="str">
            <v>CT</v>
          </cell>
          <cell r="D98" t="str">
            <v>C S</v>
          </cell>
          <cell r="E98" t="str">
            <v>CT100x150x6x9</v>
          </cell>
          <cell r="F98">
            <v>300</v>
          </cell>
          <cell r="G98" t="str">
            <v>71200- 80</v>
          </cell>
          <cell r="H98">
            <v>2</v>
          </cell>
          <cell r="I98" t="str">
            <v>7150/5900</v>
          </cell>
        </row>
        <row r="99">
          <cell r="A99" t="str">
            <v>03980-019</v>
          </cell>
          <cell r="C99" t="str">
            <v>PLATE</v>
          </cell>
          <cell r="D99" t="str">
            <v>C S</v>
          </cell>
          <cell r="E99" t="str">
            <v>PL103x70x9t</v>
          </cell>
          <cell r="G99" t="str">
            <v>71200- 80</v>
          </cell>
          <cell r="H99">
            <v>8</v>
          </cell>
          <cell r="I99" t="str">
            <v>7150/5900</v>
          </cell>
        </row>
        <row r="100">
          <cell r="A100" t="str">
            <v>03980-019</v>
          </cell>
          <cell r="C100" t="str">
            <v>PLATE</v>
          </cell>
          <cell r="D100" t="str">
            <v>C S</v>
          </cell>
          <cell r="E100" t="str">
            <v>PL250x250x12t</v>
          </cell>
          <cell r="G100" t="str">
            <v>71200- 80</v>
          </cell>
          <cell r="H100">
            <v>2</v>
          </cell>
          <cell r="I100" t="str">
            <v>7150/5900</v>
          </cell>
        </row>
        <row r="101">
          <cell r="A101" t="str">
            <v>03980-019</v>
          </cell>
          <cell r="C101" t="str">
            <v>ANCHOR BOLT</v>
          </cell>
          <cell r="D101" t="str">
            <v>C S</v>
          </cell>
          <cell r="E101" t="str">
            <v>M12x118L</v>
          </cell>
          <cell r="G101" t="str">
            <v>71200- 80</v>
          </cell>
          <cell r="H101">
            <v>8</v>
          </cell>
          <cell r="I101" t="str">
            <v>7150/5900</v>
          </cell>
        </row>
        <row r="102">
          <cell r="A102" t="str">
            <v>03980-019</v>
          </cell>
          <cell r="C102" t="str">
            <v>PLATE</v>
          </cell>
          <cell r="D102" t="str">
            <v>C S</v>
          </cell>
          <cell r="E102" t="str">
            <v>PL100x50x12t</v>
          </cell>
          <cell r="G102" t="str">
            <v>71200- 80</v>
          </cell>
          <cell r="H102">
            <v>4</v>
          </cell>
          <cell r="I102" t="str">
            <v>7150/5900</v>
          </cell>
        </row>
        <row r="103">
          <cell r="A103" t="str">
            <v>03980-019</v>
          </cell>
          <cell r="C103" t="str">
            <v>PLATE</v>
          </cell>
          <cell r="D103" t="str">
            <v>C S</v>
          </cell>
          <cell r="E103" t="str">
            <v>PL80x50x9t</v>
          </cell>
          <cell r="G103" t="str">
            <v>71200- 80</v>
          </cell>
          <cell r="H103">
            <v>4</v>
          </cell>
          <cell r="I103" t="str">
            <v>7150/5900</v>
          </cell>
        </row>
        <row r="105">
          <cell r="A105" t="str">
            <v>03980-020</v>
          </cell>
          <cell r="C105" t="str">
            <v>H-BEAM</v>
          </cell>
          <cell r="D105" t="str">
            <v>C S</v>
          </cell>
          <cell r="E105" t="str">
            <v>H100x100x6x8</v>
          </cell>
          <cell r="F105">
            <v>600</v>
          </cell>
          <cell r="G105" t="str">
            <v>71200- 80</v>
          </cell>
          <cell r="H105">
            <v>1</v>
          </cell>
          <cell r="I105" t="str">
            <v>7150/5900</v>
          </cell>
        </row>
        <row r="106">
          <cell r="A106" t="str">
            <v>03980-020</v>
          </cell>
          <cell r="C106" t="str">
            <v>CT</v>
          </cell>
          <cell r="D106" t="str">
            <v>C S</v>
          </cell>
          <cell r="E106" t="str">
            <v>CT100x150x6x9</v>
          </cell>
          <cell r="F106">
            <v>300</v>
          </cell>
          <cell r="G106" t="str">
            <v>71200- 80</v>
          </cell>
          <cell r="H106">
            <v>1</v>
          </cell>
          <cell r="I106" t="str">
            <v>7150/5900</v>
          </cell>
        </row>
        <row r="107">
          <cell r="A107" t="str">
            <v>03980-020</v>
          </cell>
          <cell r="C107" t="str">
            <v>PLATE</v>
          </cell>
          <cell r="D107" t="str">
            <v>C S</v>
          </cell>
          <cell r="E107" t="str">
            <v>PL103x70x9t</v>
          </cell>
          <cell r="G107" t="str">
            <v>71200- 80</v>
          </cell>
          <cell r="H107">
            <v>4</v>
          </cell>
          <cell r="I107" t="str">
            <v>7150/5900</v>
          </cell>
        </row>
        <row r="108">
          <cell r="A108" t="str">
            <v>03980-020</v>
          </cell>
          <cell r="C108" t="str">
            <v>PLATE</v>
          </cell>
          <cell r="D108" t="str">
            <v>C S</v>
          </cell>
          <cell r="E108" t="str">
            <v>PL100x50x12t</v>
          </cell>
          <cell r="G108" t="str">
            <v>71200- 80</v>
          </cell>
          <cell r="H108">
            <v>2</v>
          </cell>
          <cell r="I108" t="str">
            <v>7150/5900</v>
          </cell>
        </row>
        <row r="109">
          <cell r="A109" t="str">
            <v>03980-020</v>
          </cell>
          <cell r="C109" t="str">
            <v>PLATE</v>
          </cell>
          <cell r="D109" t="str">
            <v>C S</v>
          </cell>
          <cell r="E109" t="str">
            <v>PL80x50x9t</v>
          </cell>
          <cell r="G109" t="str">
            <v>71200- 80</v>
          </cell>
          <cell r="H109">
            <v>2</v>
          </cell>
          <cell r="I109" t="str">
            <v>7150/5900</v>
          </cell>
        </row>
        <row r="111">
          <cell r="A111" t="str">
            <v>03980-021</v>
          </cell>
          <cell r="C111" t="str">
            <v>ANGLE</v>
          </cell>
          <cell r="D111" t="str">
            <v>C S</v>
          </cell>
          <cell r="E111" t="str">
            <v>L100x100x10</v>
          </cell>
          <cell r="F111">
            <v>270</v>
          </cell>
          <cell r="G111" t="str">
            <v>71200- 80</v>
          </cell>
          <cell r="H111">
            <v>1</v>
          </cell>
          <cell r="I111" t="str">
            <v>7150/5900</v>
          </cell>
        </row>
        <row r="112">
          <cell r="A112" t="str">
            <v>03980-021</v>
          </cell>
          <cell r="C112" t="str">
            <v>ANGLE</v>
          </cell>
          <cell r="D112" t="str">
            <v>C S</v>
          </cell>
          <cell r="E112" t="str">
            <v>L100x100x10</v>
          </cell>
          <cell r="F112">
            <v>200</v>
          </cell>
          <cell r="G112" t="str">
            <v>71200- 80</v>
          </cell>
          <cell r="H112">
            <v>1</v>
          </cell>
          <cell r="I112" t="str">
            <v>7150/5900</v>
          </cell>
        </row>
        <row r="113">
          <cell r="A113" t="str">
            <v>03980-021</v>
          </cell>
          <cell r="C113" t="str">
            <v>CT</v>
          </cell>
          <cell r="D113" t="str">
            <v>C S</v>
          </cell>
          <cell r="E113" t="str">
            <v>CT100x150x6x9</v>
          </cell>
          <cell r="F113">
            <v>300</v>
          </cell>
          <cell r="G113" t="str">
            <v>71200- 80</v>
          </cell>
          <cell r="H113">
            <v>1</v>
          </cell>
          <cell r="I113" t="str">
            <v>7150/5900</v>
          </cell>
        </row>
        <row r="114">
          <cell r="A114" t="str">
            <v>03980-021</v>
          </cell>
          <cell r="C114" t="str">
            <v>PLATE</v>
          </cell>
          <cell r="D114" t="str">
            <v>C S</v>
          </cell>
          <cell r="E114" t="str">
            <v>PL103x70x9t</v>
          </cell>
          <cell r="G114" t="str">
            <v>71200- 80</v>
          </cell>
          <cell r="H114">
            <v>4</v>
          </cell>
          <cell r="I114" t="str">
            <v>7150/5900</v>
          </cell>
        </row>
        <row r="115">
          <cell r="A115" t="str">
            <v>03980-021</v>
          </cell>
          <cell r="C115" t="str">
            <v>PLATE</v>
          </cell>
          <cell r="D115" t="str">
            <v>C S</v>
          </cell>
          <cell r="E115" t="str">
            <v>PL250x250x12t</v>
          </cell>
          <cell r="G115" t="str">
            <v>71200- 80</v>
          </cell>
          <cell r="H115">
            <v>1</v>
          </cell>
          <cell r="I115" t="str">
            <v>7150/5900</v>
          </cell>
        </row>
        <row r="116">
          <cell r="A116" t="str">
            <v>03980-021</v>
          </cell>
          <cell r="C116" t="str">
            <v>ANCHOR BOLT</v>
          </cell>
          <cell r="D116" t="str">
            <v>C S</v>
          </cell>
          <cell r="E116" t="str">
            <v>M12x118L</v>
          </cell>
          <cell r="G116" t="str">
            <v>71200- 80</v>
          </cell>
          <cell r="H116">
            <v>4</v>
          </cell>
          <cell r="I116" t="str">
            <v>7150/5900</v>
          </cell>
        </row>
        <row r="118">
          <cell r="A118" t="str">
            <v>03980-022</v>
          </cell>
          <cell r="C118" t="str">
            <v>CT</v>
          </cell>
          <cell r="D118" t="str">
            <v>C S</v>
          </cell>
          <cell r="E118" t="str">
            <v>CT100x150x6x9</v>
          </cell>
          <cell r="F118">
            <v>300</v>
          </cell>
          <cell r="G118" t="str">
            <v>71200- 80</v>
          </cell>
          <cell r="H118">
            <v>1</v>
          </cell>
          <cell r="I118" t="str">
            <v>7150/5900</v>
          </cell>
        </row>
        <row r="119">
          <cell r="A119" t="str">
            <v>03980-022</v>
          </cell>
          <cell r="C119" t="str">
            <v>PLATE</v>
          </cell>
          <cell r="D119" t="str">
            <v>C S</v>
          </cell>
          <cell r="E119" t="str">
            <v>PL103x70x9t</v>
          </cell>
          <cell r="G119" t="str">
            <v>71200- 80</v>
          </cell>
          <cell r="H119">
            <v>4</v>
          </cell>
          <cell r="I119" t="str">
            <v>7150/5900</v>
          </cell>
        </row>
        <row r="120">
          <cell r="A120" t="str">
            <v>03980-022</v>
          </cell>
          <cell r="C120" t="str">
            <v>PLATE</v>
          </cell>
          <cell r="D120" t="str">
            <v>C S</v>
          </cell>
          <cell r="E120" t="str">
            <v>PL100x50x12t</v>
          </cell>
          <cell r="G120" t="str">
            <v>71200- 80</v>
          </cell>
          <cell r="H120">
            <v>2</v>
          </cell>
          <cell r="I120" t="str">
            <v>7150/5900</v>
          </cell>
        </row>
        <row r="121">
          <cell r="A121" t="str">
            <v>03980-022</v>
          </cell>
          <cell r="C121" t="str">
            <v>PLATE</v>
          </cell>
          <cell r="D121" t="str">
            <v>C S</v>
          </cell>
          <cell r="E121" t="str">
            <v>PL80x50x9t</v>
          </cell>
          <cell r="G121" t="str">
            <v>71200- 80</v>
          </cell>
          <cell r="H121">
            <v>2</v>
          </cell>
          <cell r="I121" t="str">
            <v>7150/5900</v>
          </cell>
        </row>
        <row r="123">
          <cell r="A123" t="str">
            <v>03980-023</v>
          </cell>
          <cell r="C123" t="str">
            <v>CT</v>
          </cell>
          <cell r="D123" t="str">
            <v>C S</v>
          </cell>
          <cell r="E123" t="str">
            <v>CT100x150x6x9</v>
          </cell>
          <cell r="F123">
            <v>300</v>
          </cell>
          <cell r="G123" t="str">
            <v>71200- 80</v>
          </cell>
          <cell r="H123">
            <v>1</v>
          </cell>
          <cell r="I123" t="str">
            <v>7150/5900</v>
          </cell>
        </row>
        <row r="124">
          <cell r="A124" t="str">
            <v>03980-023</v>
          </cell>
          <cell r="C124" t="str">
            <v>PLATE</v>
          </cell>
          <cell r="D124" t="str">
            <v>C S</v>
          </cell>
          <cell r="E124" t="str">
            <v>PL103x70x9t</v>
          </cell>
          <cell r="G124" t="str">
            <v>71200- 80</v>
          </cell>
          <cell r="H124">
            <v>4</v>
          </cell>
          <cell r="I124" t="str">
            <v>7150/5900</v>
          </cell>
        </row>
        <row r="126">
          <cell r="A126" t="str">
            <v>03980-024</v>
          </cell>
          <cell r="C126" t="str">
            <v>H-BEAM</v>
          </cell>
          <cell r="D126" t="str">
            <v>C S</v>
          </cell>
          <cell r="E126" t="str">
            <v>H100x100x6x8</v>
          </cell>
          <cell r="F126">
            <v>1385</v>
          </cell>
          <cell r="G126" t="str">
            <v>16200-150</v>
          </cell>
          <cell r="H126">
            <v>1</v>
          </cell>
          <cell r="I126" t="str">
            <v>7150/5900</v>
          </cell>
        </row>
        <row r="127">
          <cell r="A127" t="str">
            <v>03980-024</v>
          </cell>
          <cell r="C127" t="str">
            <v>CLIP ANGLE</v>
          </cell>
          <cell r="D127" t="str">
            <v>C S</v>
          </cell>
          <cell r="E127" t="str">
            <v>L75x75x9</v>
          </cell>
          <cell r="F127">
            <v>50</v>
          </cell>
          <cell r="G127" t="str">
            <v>16200-150</v>
          </cell>
          <cell r="H127">
            <v>2</v>
          </cell>
          <cell r="I127" t="str">
            <v>7150/5900</v>
          </cell>
        </row>
        <row r="128">
          <cell r="A128" t="str">
            <v>03980-024</v>
          </cell>
          <cell r="C128" t="str">
            <v>U-BOLT</v>
          </cell>
          <cell r="D128" t="str">
            <v>C S</v>
          </cell>
          <cell r="E128" t="str">
            <v>DN150</v>
          </cell>
          <cell r="G128" t="str">
            <v>16200-150</v>
          </cell>
          <cell r="H128">
            <v>1</v>
          </cell>
          <cell r="I128" t="str">
            <v>7150/5900</v>
          </cell>
        </row>
        <row r="129">
          <cell r="A129" t="str">
            <v>03980-024</v>
          </cell>
          <cell r="C129" t="str">
            <v>U-BOLT</v>
          </cell>
          <cell r="D129" t="str">
            <v>C S</v>
          </cell>
          <cell r="E129" t="str">
            <v>DN 80</v>
          </cell>
          <cell r="G129" t="str">
            <v>16200- 80</v>
          </cell>
          <cell r="H129">
            <v>1</v>
          </cell>
          <cell r="I129" t="str">
            <v>7150/5900</v>
          </cell>
        </row>
        <row r="131">
          <cell r="A131" t="str">
            <v>03980-025</v>
          </cell>
          <cell r="C131" t="str">
            <v>H-BEAM</v>
          </cell>
          <cell r="D131" t="str">
            <v>C S</v>
          </cell>
          <cell r="E131" t="str">
            <v>H100x100x6x8</v>
          </cell>
          <cell r="F131">
            <v>1385</v>
          </cell>
          <cell r="G131" t="str">
            <v>16320-100</v>
          </cell>
          <cell r="H131">
            <v>1</v>
          </cell>
          <cell r="I131" t="str">
            <v>7150/5900</v>
          </cell>
        </row>
        <row r="132">
          <cell r="A132" t="str">
            <v>03980-025</v>
          </cell>
          <cell r="C132" t="str">
            <v>CLIP ANGLE</v>
          </cell>
          <cell r="D132" t="str">
            <v>C S</v>
          </cell>
          <cell r="E132" t="str">
            <v>L75x75x9</v>
          </cell>
          <cell r="F132">
            <v>50</v>
          </cell>
          <cell r="G132" t="str">
            <v>16320-100</v>
          </cell>
          <cell r="H132">
            <v>2</v>
          </cell>
          <cell r="I132" t="str">
            <v>7150/5900</v>
          </cell>
        </row>
        <row r="134">
          <cell r="A134" t="str">
            <v>03980-026</v>
          </cell>
          <cell r="C134" t="str">
            <v>H-BEAM</v>
          </cell>
          <cell r="D134" t="str">
            <v>C S</v>
          </cell>
          <cell r="E134" t="str">
            <v>H100x100x6x8</v>
          </cell>
          <cell r="F134">
            <v>1385</v>
          </cell>
          <cell r="G134" t="str">
            <v>16200-100</v>
          </cell>
          <cell r="H134">
            <v>1</v>
          </cell>
          <cell r="I134" t="str">
            <v>7150/5900</v>
          </cell>
        </row>
        <row r="135">
          <cell r="A135" t="str">
            <v>03980-026</v>
          </cell>
          <cell r="C135" t="str">
            <v>CLIP ANGLE</v>
          </cell>
          <cell r="D135" t="str">
            <v>C S</v>
          </cell>
          <cell r="E135" t="str">
            <v>L75x75x9</v>
          </cell>
          <cell r="F135">
            <v>50</v>
          </cell>
          <cell r="G135" t="str">
            <v>16200-100</v>
          </cell>
          <cell r="H135">
            <v>2</v>
          </cell>
          <cell r="I135" t="str">
            <v>7150/5900</v>
          </cell>
        </row>
        <row r="136">
          <cell r="A136" t="str">
            <v>03980-026</v>
          </cell>
          <cell r="C136" t="str">
            <v>U-BOLT</v>
          </cell>
          <cell r="D136" t="str">
            <v>C S</v>
          </cell>
          <cell r="E136" t="str">
            <v>DN100</v>
          </cell>
          <cell r="G136" t="str">
            <v>16200-100</v>
          </cell>
          <cell r="H136">
            <v>1</v>
          </cell>
          <cell r="I136" t="str">
            <v>7150/5900</v>
          </cell>
        </row>
        <row r="137">
          <cell r="A137" t="str">
            <v>03980-026</v>
          </cell>
          <cell r="C137" t="str">
            <v>U-BOLT</v>
          </cell>
          <cell r="D137" t="str">
            <v>C S</v>
          </cell>
          <cell r="E137" t="str">
            <v>DN100</v>
          </cell>
          <cell r="G137" t="str">
            <v>16320-100</v>
          </cell>
          <cell r="H137">
            <v>1</v>
          </cell>
          <cell r="I137" t="str">
            <v>7150/5900</v>
          </cell>
        </row>
        <row r="139">
          <cell r="A139" t="str">
            <v>03980-027</v>
          </cell>
          <cell r="C139" t="str">
            <v>H-BEAM</v>
          </cell>
          <cell r="D139" t="str">
            <v>C S</v>
          </cell>
          <cell r="E139" t="str">
            <v>H100x100x6x8</v>
          </cell>
          <cell r="F139">
            <v>1385</v>
          </cell>
          <cell r="G139" t="str">
            <v>16100-100</v>
          </cell>
          <cell r="H139">
            <v>1</v>
          </cell>
          <cell r="I139" t="str">
            <v>7150/5900</v>
          </cell>
        </row>
        <row r="140">
          <cell r="A140" t="str">
            <v>03980-027</v>
          </cell>
          <cell r="C140" t="str">
            <v>CLIP ANGLE</v>
          </cell>
          <cell r="D140" t="str">
            <v>C S</v>
          </cell>
          <cell r="E140" t="str">
            <v>L75x75x9</v>
          </cell>
          <cell r="F140">
            <v>50</v>
          </cell>
          <cell r="G140" t="str">
            <v>16100-100</v>
          </cell>
          <cell r="H140">
            <v>2</v>
          </cell>
          <cell r="I140" t="str">
            <v>7150/5900</v>
          </cell>
        </row>
        <row r="142">
          <cell r="A142" t="str">
            <v>03980-028</v>
          </cell>
          <cell r="C142" t="str">
            <v>H-BEAM</v>
          </cell>
          <cell r="D142" t="str">
            <v>C S</v>
          </cell>
          <cell r="E142" t="str">
            <v>H100x100x6x8</v>
          </cell>
          <cell r="F142">
            <v>1385</v>
          </cell>
          <cell r="G142" t="str">
            <v>16100-150</v>
          </cell>
          <cell r="H142">
            <v>1</v>
          </cell>
          <cell r="I142" t="str">
            <v>7150/5900</v>
          </cell>
        </row>
        <row r="143">
          <cell r="A143" t="str">
            <v>03980-028</v>
          </cell>
          <cell r="C143" t="str">
            <v>CLIP ANGLE</v>
          </cell>
          <cell r="D143" t="str">
            <v>C S</v>
          </cell>
          <cell r="E143" t="str">
            <v>L75x75x9</v>
          </cell>
          <cell r="F143">
            <v>50</v>
          </cell>
          <cell r="G143" t="str">
            <v>16100-150</v>
          </cell>
          <cell r="H143">
            <v>2</v>
          </cell>
          <cell r="I143" t="str">
            <v>7150/5900</v>
          </cell>
        </row>
        <row r="144">
          <cell r="A144" t="str">
            <v>03980-028</v>
          </cell>
          <cell r="C144" t="str">
            <v>U-BOLT</v>
          </cell>
          <cell r="D144" t="str">
            <v>C S</v>
          </cell>
          <cell r="E144" t="str">
            <v>DN150</v>
          </cell>
          <cell r="G144" t="str">
            <v>16100-150</v>
          </cell>
          <cell r="H144">
            <v>1</v>
          </cell>
          <cell r="I144" t="str">
            <v>7150/5900</v>
          </cell>
        </row>
        <row r="145">
          <cell r="A145" t="str">
            <v>03980-028</v>
          </cell>
          <cell r="C145" t="str">
            <v>U-BOLT</v>
          </cell>
          <cell r="D145" t="str">
            <v>C S</v>
          </cell>
          <cell r="E145" t="str">
            <v>DN100</v>
          </cell>
          <cell r="G145" t="str">
            <v>16200-100</v>
          </cell>
          <cell r="H145">
            <v>1</v>
          </cell>
          <cell r="I145" t="str">
            <v>7150/5900</v>
          </cell>
        </row>
        <row r="146">
          <cell r="A146" t="str">
            <v>03980-028</v>
          </cell>
          <cell r="C146" t="str">
            <v>U-BOLT</v>
          </cell>
          <cell r="D146" t="str">
            <v>C S</v>
          </cell>
          <cell r="E146" t="str">
            <v>DN100</v>
          </cell>
          <cell r="G146" t="str">
            <v>16100-100</v>
          </cell>
          <cell r="H146">
            <v>1</v>
          </cell>
          <cell r="I146" t="str">
            <v>7150/5900</v>
          </cell>
        </row>
        <row r="148">
          <cell r="A148" t="str">
            <v>03980-029</v>
          </cell>
          <cell r="C148" t="str">
            <v>H-BEAM</v>
          </cell>
          <cell r="D148" t="str">
            <v>C S</v>
          </cell>
          <cell r="E148" t="str">
            <v>H100x100x6x8</v>
          </cell>
          <cell r="F148">
            <v>1780</v>
          </cell>
          <cell r="G148" t="str">
            <v>16100-150</v>
          </cell>
          <cell r="H148">
            <v>1</v>
          </cell>
          <cell r="I148" t="str">
            <v>7150/5900</v>
          </cell>
        </row>
        <row r="149">
          <cell r="A149" t="str">
            <v>03980-029</v>
          </cell>
          <cell r="C149" t="str">
            <v>CLIP ANGLE</v>
          </cell>
          <cell r="D149" t="str">
            <v>C S</v>
          </cell>
          <cell r="E149" t="str">
            <v>L75x75x9</v>
          </cell>
          <cell r="F149">
            <v>50</v>
          </cell>
          <cell r="G149" t="str">
            <v>16100-150</v>
          </cell>
          <cell r="H149">
            <v>2</v>
          </cell>
          <cell r="I149" t="str">
            <v>7150/5900</v>
          </cell>
        </row>
        <row r="151">
          <cell r="A151" t="str">
            <v>03980-030</v>
          </cell>
          <cell r="C151" t="str">
            <v>H-BEAM</v>
          </cell>
          <cell r="D151" t="str">
            <v>C S</v>
          </cell>
          <cell r="E151" t="str">
            <v>H100x100x6x8</v>
          </cell>
          <cell r="F151">
            <v>1385</v>
          </cell>
          <cell r="G151" t="str">
            <v>16200-100</v>
          </cell>
          <cell r="H151">
            <v>1</v>
          </cell>
          <cell r="I151" t="str">
            <v>7150/5900</v>
          </cell>
        </row>
        <row r="152">
          <cell r="A152" t="str">
            <v>03980-030</v>
          </cell>
          <cell r="C152" t="str">
            <v>CLIP ANGLE</v>
          </cell>
          <cell r="D152" t="str">
            <v>C S</v>
          </cell>
          <cell r="E152" t="str">
            <v>L75x75x9</v>
          </cell>
          <cell r="F152">
            <v>50</v>
          </cell>
          <cell r="G152" t="str">
            <v>16200-100</v>
          </cell>
          <cell r="H152">
            <v>2</v>
          </cell>
          <cell r="I152" t="str">
            <v>7150/5900</v>
          </cell>
        </row>
        <row r="154">
          <cell r="A154" t="str">
            <v>03980-031</v>
          </cell>
          <cell r="C154" t="str">
            <v>H-BEAM</v>
          </cell>
          <cell r="D154" t="str">
            <v>C S</v>
          </cell>
          <cell r="E154" t="str">
            <v>H100x100x6x8</v>
          </cell>
          <cell r="F154">
            <v>700</v>
          </cell>
          <cell r="G154" t="str">
            <v>16200-100</v>
          </cell>
          <cell r="H154">
            <v>1</v>
          </cell>
          <cell r="I154" t="str">
            <v>7150/5900</v>
          </cell>
        </row>
        <row r="156">
          <cell r="A156" t="str">
            <v>03980-032</v>
          </cell>
          <cell r="C156" t="str">
            <v>U-BOLT</v>
          </cell>
          <cell r="D156" t="str">
            <v>C S</v>
          </cell>
          <cell r="E156" t="str">
            <v>DN100</v>
          </cell>
          <cell r="G156" t="str">
            <v>16320-100</v>
          </cell>
          <cell r="H156">
            <v>1</v>
          </cell>
          <cell r="I156" t="str">
            <v>7150/5900</v>
          </cell>
        </row>
        <row r="157">
          <cell r="A157" t="str">
            <v>03980-032</v>
          </cell>
          <cell r="C157" t="str">
            <v>ANGLE</v>
          </cell>
          <cell r="D157" t="str">
            <v>C S</v>
          </cell>
          <cell r="E157" t="str">
            <v>L75x75x9</v>
          </cell>
          <cell r="F157">
            <v>527</v>
          </cell>
          <cell r="G157" t="str">
            <v>16320-100</v>
          </cell>
          <cell r="H157">
            <v>1</v>
          </cell>
          <cell r="I157" t="str">
            <v>7150/5900</v>
          </cell>
        </row>
        <row r="158">
          <cell r="A158" t="str">
            <v>03980-032</v>
          </cell>
          <cell r="C158" t="str">
            <v>PLATE</v>
          </cell>
          <cell r="D158" t="str">
            <v>C S</v>
          </cell>
          <cell r="E158" t="str">
            <v>PL200x200x12t</v>
          </cell>
          <cell r="G158" t="str">
            <v>16320-100</v>
          </cell>
          <cell r="H158">
            <v>1</v>
          </cell>
          <cell r="I158" t="str">
            <v>7150/5900</v>
          </cell>
        </row>
        <row r="159">
          <cell r="A159" t="str">
            <v>03980-032</v>
          </cell>
          <cell r="C159" t="str">
            <v>ANCHOR BOLT</v>
          </cell>
          <cell r="D159" t="str">
            <v>C S</v>
          </cell>
          <cell r="E159" t="str">
            <v>M12x155L</v>
          </cell>
          <cell r="G159" t="str">
            <v>16320-100</v>
          </cell>
          <cell r="H159">
            <v>4</v>
          </cell>
          <cell r="I159" t="str">
            <v>7150/5900</v>
          </cell>
        </row>
        <row r="161">
          <cell r="A161" t="str">
            <v>03980-033</v>
          </cell>
          <cell r="C161" t="str">
            <v>CHANNEL</v>
          </cell>
          <cell r="D161" t="str">
            <v>C S</v>
          </cell>
          <cell r="E161" t="str">
            <v>C100x50x5x7.5</v>
          </cell>
          <cell r="F161">
            <v>500</v>
          </cell>
          <cell r="G161" t="str">
            <v>16200- 80</v>
          </cell>
          <cell r="H161">
            <v>1</v>
          </cell>
        </row>
        <row r="162">
          <cell r="A162" t="str">
            <v>03980-033</v>
          </cell>
          <cell r="C162" t="str">
            <v>3-BOLT PIPE CLAMP</v>
          </cell>
          <cell r="D162" t="str">
            <v>C S</v>
          </cell>
          <cell r="E162" t="str">
            <v>DN 80</v>
          </cell>
          <cell r="G162" t="str">
            <v>16200- 80</v>
          </cell>
          <cell r="H162">
            <v>1</v>
          </cell>
          <cell r="I162" t="str">
            <v>7150/5900</v>
          </cell>
        </row>
        <row r="163">
          <cell r="A163" t="str">
            <v>03980-033</v>
          </cell>
          <cell r="C163" t="str">
            <v>WEL'D BEAM ATTACH.</v>
          </cell>
          <cell r="D163" t="str">
            <v>C S</v>
          </cell>
          <cell r="E163" t="str">
            <v>M12</v>
          </cell>
          <cell r="G163" t="str">
            <v>16200- 80</v>
          </cell>
          <cell r="H163">
            <v>1</v>
          </cell>
          <cell r="I163" t="str">
            <v>7150/5900</v>
          </cell>
        </row>
        <row r="164">
          <cell r="A164" t="str">
            <v>03980-033</v>
          </cell>
          <cell r="C164" t="str">
            <v>EYE NUT</v>
          </cell>
          <cell r="D164" t="str">
            <v>C S</v>
          </cell>
          <cell r="E164" t="str">
            <v>M12</v>
          </cell>
          <cell r="G164" t="str">
            <v>16200- 80</v>
          </cell>
          <cell r="H164">
            <v>2</v>
          </cell>
          <cell r="I164" t="str">
            <v>7150/5900</v>
          </cell>
        </row>
        <row r="165">
          <cell r="A165" t="str">
            <v>03980-033</v>
          </cell>
          <cell r="C165" t="str">
            <v>THR'D ROD</v>
          </cell>
          <cell r="D165" t="str">
            <v>C S</v>
          </cell>
          <cell r="E165" t="str">
            <v>M12</v>
          </cell>
          <cell r="F165">
            <v>360</v>
          </cell>
          <cell r="G165" t="str">
            <v>16200- 80</v>
          </cell>
          <cell r="H165">
            <v>1</v>
          </cell>
          <cell r="I165" t="str">
            <v>7150/5900</v>
          </cell>
        </row>
        <row r="166">
          <cell r="A166" t="str">
            <v>03980-033</v>
          </cell>
          <cell r="C166" t="str">
            <v>PLATE</v>
          </cell>
          <cell r="D166" t="str">
            <v>C S</v>
          </cell>
          <cell r="E166" t="str">
            <v>PL200x200x12t</v>
          </cell>
          <cell r="G166" t="str">
            <v>16200- 80</v>
          </cell>
          <cell r="H166">
            <v>1</v>
          </cell>
          <cell r="I166" t="str">
            <v>7150/5900</v>
          </cell>
        </row>
        <row r="167">
          <cell r="A167" t="str">
            <v>03980-033</v>
          </cell>
          <cell r="C167" t="str">
            <v>ANCHOR BOLT</v>
          </cell>
          <cell r="D167" t="str">
            <v>C S</v>
          </cell>
          <cell r="E167" t="str">
            <v>M12x155L</v>
          </cell>
          <cell r="G167" t="str">
            <v>16200- 80</v>
          </cell>
          <cell r="H167">
            <v>4</v>
          </cell>
          <cell r="I167" t="str">
            <v>7150/5900</v>
          </cell>
        </row>
        <row r="169">
          <cell r="A169" t="str">
            <v>03980-034</v>
          </cell>
          <cell r="C169" t="str">
            <v>U-BOLT</v>
          </cell>
          <cell r="D169" t="str">
            <v>C S</v>
          </cell>
          <cell r="E169" t="str">
            <v>DN100</v>
          </cell>
          <cell r="G169" t="str">
            <v>16320-100</v>
          </cell>
          <cell r="H169">
            <v>1</v>
          </cell>
          <cell r="I169" t="str">
            <v>7150/5900</v>
          </cell>
        </row>
        <row r="170">
          <cell r="A170" t="str">
            <v>03980-034</v>
          </cell>
          <cell r="C170" t="str">
            <v>ANGLE</v>
          </cell>
          <cell r="D170" t="str">
            <v>C S</v>
          </cell>
          <cell r="E170" t="str">
            <v>L75x75x9</v>
          </cell>
          <cell r="F170">
            <v>514</v>
          </cell>
          <cell r="G170" t="str">
            <v>16320-100</v>
          </cell>
          <cell r="H170">
            <v>1</v>
          </cell>
          <cell r="I170" t="str">
            <v>7150/5900</v>
          </cell>
        </row>
        <row r="171">
          <cell r="A171" t="str">
            <v>03980-034</v>
          </cell>
          <cell r="C171" t="str">
            <v>PLATE</v>
          </cell>
          <cell r="D171" t="str">
            <v>C S</v>
          </cell>
          <cell r="E171" t="str">
            <v>PL200x200x12t</v>
          </cell>
          <cell r="G171" t="str">
            <v>16320-100</v>
          </cell>
          <cell r="H171">
            <v>1</v>
          </cell>
          <cell r="I171" t="str">
            <v>7150/5900</v>
          </cell>
        </row>
        <row r="172">
          <cell r="A172" t="str">
            <v>03980-034</v>
          </cell>
          <cell r="C172" t="str">
            <v>ANCHOR BOLT</v>
          </cell>
          <cell r="D172" t="str">
            <v>C S</v>
          </cell>
          <cell r="E172" t="str">
            <v>M12x155L</v>
          </cell>
          <cell r="G172" t="str">
            <v>16320-100</v>
          </cell>
          <cell r="H172">
            <v>4</v>
          </cell>
          <cell r="I172" t="str">
            <v>7150/5900</v>
          </cell>
        </row>
        <row r="174">
          <cell r="A174" t="str">
            <v>03980-035</v>
          </cell>
          <cell r="C174" t="str">
            <v>H-BEAM</v>
          </cell>
          <cell r="D174" t="str">
            <v>C S</v>
          </cell>
          <cell r="E174" t="str">
            <v>H100x100x6x8</v>
          </cell>
          <cell r="F174">
            <v>462</v>
          </cell>
          <cell r="G174" t="str">
            <v>16100-150</v>
          </cell>
          <cell r="H174">
            <v>1</v>
          </cell>
          <cell r="I174" t="str">
            <v>7150/5900</v>
          </cell>
        </row>
        <row r="175">
          <cell r="A175" t="str">
            <v>03980-035</v>
          </cell>
          <cell r="C175" t="str">
            <v>ANGLE</v>
          </cell>
          <cell r="D175" t="str">
            <v>C S</v>
          </cell>
          <cell r="E175" t="str">
            <v>L75x75x9</v>
          </cell>
          <cell r="F175">
            <v>330</v>
          </cell>
          <cell r="G175" t="str">
            <v>16100-150</v>
          </cell>
          <cell r="H175">
            <v>1</v>
          </cell>
          <cell r="I175" t="str">
            <v>7150/5900</v>
          </cell>
        </row>
        <row r="176">
          <cell r="A176" t="str">
            <v>03980-035</v>
          </cell>
          <cell r="C176" t="str">
            <v>PLATE</v>
          </cell>
          <cell r="D176" t="str">
            <v>C S</v>
          </cell>
          <cell r="E176" t="str">
            <v>PL200x200x12t</v>
          </cell>
          <cell r="G176" t="str">
            <v>16100-150</v>
          </cell>
          <cell r="H176">
            <v>1</v>
          </cell>
          <cell r="I176" t="str">
            <v>7150/5900</v>
          </cell>
        </row>
        <row r="177">
          <cell r="A177" t="str">
            <v>03980-035</v>
          </cell>
          <cell r="C177" t="str">
            <v>ANCHOR BOLT</v>
          </cell>
          <cell r="D177" t="str">
            <v>C S</v>
          </cell>
          <cell r="E177" t="str">
            <v>M16x177L</v>
          </cell>
          <cell r="G177" t="str">
            <v>16100-150</v>
          </cell>
          <cell r="H177">
            <v>4</v>
          </cell>
          <cell r="I177" t="str">
            <v>7150/5900</v>
          </cell>
        </row>
        <row r="178">
          <cell r="A178" t="str">
            <v>03980-035</v>
          </cell>
          <cell r="C178" t="str">
            <v>U-BOLT</v>
          </cell>
          <cell r="D178" t="str">
            <v>C S</v>
          </cell>
          <cell r="E178" t="str">
            <v>DN150</v>
          </cell>
          <cell r="G178" t="str">
            <v>16100-150</v>
          </cell>
          <cell r="H178">
            <v>1</v>
          </cell>
          <cell r="I178" t="str">
            <v>7150/5900</v>
          </cell>
        </row>
        <row r="180">
          <cell r="A180" t="str">
            <v>03980-036</v>
          </cell>
          <cell r="C180" t="str">
            <v>CHANNEL</v>
          </cell>
          <cell r="D180" t="str">
            <v>C S</v>
          </cell>
          <cell r="E180" t="str">
            <v>C100x50x5x7.5</v>
          </cell>
          <cell r="F180">
            <v>450</v>
          </cell>
          <cell r="G180" t="str">
            <v>16320- 80</v>
          </cell>
          <cell r="H180">
            <v>1</v>
          </cell>
        </row>
        <row r="181">
          <cell r="A181" t="str">
            <v>03980-036</v>
          </cell>
          <cell r="C181" t="str">
            <v>3-BOLT PIPE CLAMP</v>
          </cell>
          <cell r="D181" t="str">
            <v>C S</v>
          </cell>
          <cell r="E181" t="str">
            <v>DN 80</v>
          </cell>
          <cell r="G181" t="str">
            <v>16320- 80</v>
          </cell>
          <cell r="H181">
            <v>1</v>
          </cell>
          <cell r="I181" t="str">
            <v>7150/5900</v>
          </cell>
        </row>
        <row r="182">
          <cell r="A182" t="str">
            <v>03980-036</v>
          </cell>
          <cell r="C182" t="str">
            <v>WEL'D BEAM ATTACH.</v>
          </cell>
          <cell r="D182" t="str">
            <v>C S</v>
          </cell>
          <cell r="E182" t="str">
            <v>M12</v>
          </cell>
          <cell r="G182" t="str">
            <v>16320- 80</v>
          </cell>
          <cell r="H182">
            <v>1</v>
          </cell>
          <cell r="I182" t="str">
            <v>7150/5900</v>
          </cell>
        </row>
        <row r="183">
          <cell r="A183" t="str">
            <v>03980-036</v>
          </cell>
          <cell r="C183" t="str">
            <v>EYE NUT</v>
          </cell>
          <cell r="D183" t="str">
            <v>C S</v>
          </cell>
          <cell r="E183" t="str">
            <v>M12</v>
          </cell>
          <cell r="G183" t="str">
            <v>16320- 80</v>
          </cell>
          <cell r="H183">
            <v>2</v>
          </cell>
          <cell r="I183" t="str">
            <v>7150/5900</v>
          </cell>
        </row>
        <row r="184">
          <cell r="A184" t="str">
            <v>03980-036</v>
          </cell>
          <cell r="C184" t="str">
            <v>THR'D ROD</v>
          </cell>
          <cell r="D184" t="str">
            <v>C S</v>
          </cell>
          <cell r="E184" t="str">
            <v>M12</v>
          </cell>
          <cell r="F184">
            <v>1161</v>
          </cell>
          <cell r="G184" t="str">
            <v>16320- 80</v>
          </cell>
          <cell r="H184">
            <v>1</v>
          </cell>
          <cell r="I184" t="str">
            <v>7150/5900</v>
          </cell>
        </row>
        <row r="186">
          <cell r="A186" t="str">
            <v>03980-037</v>
          </cell>
          <cell r="C186" t="str">
            <v>H-BEAM</v>
          </cell>
          <cell r="D186" t="str">
            <v>C S</v>
          </cell>
          <cell r="E186" t="str">
            <v>H100x100x6x8</v>
          </cell>
          <cell r="F186">
            <v>284</v>
          </cell>
          <cell r="G186" t="str">
            <v>16320- 80</v>
          </cell>
          <cell r="H186">
            <v>1</v>
          </cell>
          <cell r="I186" t="str">
            <v>7150/5900</v>
          </cell>
        </row>
        <row r="187">
          <cell r="A187" t="str">
            <v>03980-037</v>
          </cell>
          <cell r="C187" t="str">
            <v>ANGLE</v>
          </cell>
          <cell r="D187" t="str">
            <v>C S</v>
          </cell>
          <cell r="E187" t="str">
            <v>L75x75x9</v>
          </cell>
          <cell r="F187">
            <v>225</v>
          </cell>
          <cell r="G187" t="str">
            <v>16320- 80</v>
          </cell>
          <cell r="H187">
            <v>1</v>
          </cell>
          <cell r="I187" t="str">
            <v>7150/5900</v>
          </cell>
        </row>
        <row r="188">
          <cell r="A188" t="str">
            <v>03980-037</v>
          </cell>
          <cell r="C188" t="str">
            <v>U-BOLT</v>
          </cell>
          <cell r="D188" t="str">
            <v>C S</v>
          </cell>
          <cell r="E188" t="str">
            <v>DN 80</v>
          </cell>
          <cell r="G188" t="str">
            <v>16320- 80</v>
          </cell>
          <cell r="H188">
            <v>1</v>
          </cell>
          <cell r="I188" t="str">
            <v>7150/5900</v>
          </cell>
        </row>
        <row r="189">
          <cell r="A189" t="str">
            <v>03980-037</v>
          </cell>
          <cell r="C189" t="str">
            <v>PLATE</v>
          </cell>
          <cell r="D189" t="str">
            <v>C S</v>
          </cell>
          <cell r="E189" t="str">
            <v>PL200x200x12t</v>
          </cell>
          <cell r="G189" t="str">
            <v>16320- 80</v>
          </cell>
          <cell r="H189">
            <v>1</v>
          </cell>
          <cell r="I189" t="str">
            <v>7150/5900</v>
          </cell>
        </row>
        <row r="190">
          <cell r="A190" t="str">
            <v>03980-037</v>
          </cell>
          <cell r="C190" t="str">
            <v>ANCHOR BOLT</v>
          </cell>
          <cell r="D190" t="str">
            <v>C S</v>
          </cell>
          <cell r="E190" t="str">
            <v>M12x155L</v>
          </cell>
          <cell r="G190" t="str">
            <v>16320- 80</v>
          </cell>
          <cell r="H190">
            <v>4</v>
          </cell>
          <cell r="I190" t="str">
            <v>7150/5900</v>
          </cell>
        </row>
        <row r="192">
          <cell r="A192" t="str">
            <v>03980-038</v>
          </cell>
          <cell r="C192" t="str">
            <v>ANGLE</v>
          </cell>
          <cell r="D192" t="str">
            <v>C S</v>
          </cell>
          <cell r="E192" t="str">
            <v>L75x75x9</v>
          </cell>
          <cell r="F192">
            <v>284</v>
          </cell>
          <cell r="G192" t="str">
            <v>16320- 80</v>
          </cell>
          <cell r="H192">
            <v>1</v>
          </cell>
          <cell r="I192" t="str">
            <v>7150/5900</v>
          </cell>
        </row>
        <row r="193">
          <cell r="A193" t="str">
            <v>03980-038</v>
          </cell>
          <cell r="C193" t="str">
            <v>U-BOLT</v>
          </cell>
          <cell r="D193" t="str">
            <v>C S</v>
          </cell>
          <cell r="E193" t="str">
            <v>DN 80</v>
          </cell>
          <cell r="G193" t="str">
            <v>16320- 80</v>
          </cell>
          <cell r="H193">
            <v>1</v>
          </cell>
          <cell r="I193" t="str">
            <v>7150/5900</v>
          </cell>
        </row>
        <row r="194">
          <cell r="A194" t="str">
            <v>03980-038</v>
          </cell>
          <cell r="C194" t="str">
            <v>PLATE</v>
          </cell>
          <cell r="D194" t="str">
            <v>C S</v>
          </cell>
          <cell r="E194" t="str">
            <v>PL200x100x12t</v>
          </cell>
          <cell r="G194" t="str">
            <v>16320- 80</v>
          </cell>
          <cell r="H194">
            <v>1</v>
          </cell>
          <cell r="I194" t="str">
            <v>7150/5900</v>
          </cell>
        </row>
        <row r="195">
          <cell r="A195" t="str">
            <v>03980-038</v>
          </cell>
          <cell r="C195" t="str">
            <v>ANCHOR BOLT</v>
          </cell>
          <cell r="D195" t="str">
            <v>C S</v>
          </cell>
          <cell r="E195" t="str">
            <v>M12x155L</v>
          </cell>
          <cell r="G195" t="str">
            <v>16320- 80</v>
          </cell>
          <cell r="H195">
            <v>2</v>
          </cell>
          <cell r="I195" t="str">
            <v>7150/5900</v>
          </cell>
        </row>
      </sheetData>
      <sheetData sheetId="5" refreshError="1"/>
      <sheetData sheetId="6" refreshError="1"/>
      <sheetData sheetId="7" refreshError="1"/>
      <sheetData sheetId="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ontent"/>
      <sheetName val="Project Outline"/>
      <sheetName val="주요공사"/>
      <sheetName val="Contractual Amount"/>
      <sheetName val="시헹예산"/>
      <sheetName val="TENDER vs BUDGET"/>
      <sheetName val="직영 vs 하청 - 2"/>
      <sheetName val="96 당초Schedule"/>
      <sheetName val="96 Performance"/>
      <sheetName val="소화-투입 분석표"/>
      <sheetName val="STF ORG(K)"/>
      <sheetName val="Staff Org. Chart"/>
      <sheetName val="Scope of Work"/>
      <sheetName val="Design Status"/>
      <sheetName val="DWG Status"/>
      <sheetName val="MAT'L Status"/>
      <sheetName val="장비동원"/>
      <sheetName val="근로자동원"/>
      <sheetName val="Install Status"/>
      <sheetName val="Staff Mob. Plan"/>
      <sheetName val="M.P Mob. Plan"/>
      <sheetName val="Eq. Mobiliz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ontent"/>
      <sheetName val="Project Outline"/>
      <sheetName val="주요공사"/>
      <sheetName val="Contractual Amount"/>
      <sheetName val="시헹예산"/>
      <sheetName val="TENDER vs BUDGET"/>
      <sheetName val="직영 vs 하청 - 2"/>
      <sheetName val="96 당초Schedule"/>
      <sheetName val="96 Performance"/>
      <sheetName val="소화-투입 분석표"/>
      <sheetName val="STF ORG(K)"/>
      <sheetName val="Staff Org. Chart"/>
      <sheetName val="Scope of Work"/>
      <sheetName val="Design Status"/>
      <sheetName val="DWG Status"/>
      <sheetName val="MAT'L Status"/>
      <sheetName val="장비동원"/>
      <sheetName val="근로자동원"/>
      <sheetName val="Install Status"/>
      <sheetName val="Staff Mob. Plan"/>
      <sheetName val="M.P Mob. Plan"/>
      <sheetName val="Eq. Mobiliz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 Rate"/>
      <sheetName val="160MVA+2FB"/>
      <sheetName val="160MVA+1FB"/>
      <sheetName val="160MVA Addl"/>
      <sheetName val="220KV FB"/>
      <sheetName val="315MVA Addl"/>
      <sheetName val="40MVA+2FB"/>
      <sheetName val="20MVA+2FB"/>
      <sheetName val="40MVA+1FB"/>
      <sheetName val="132FB"/>
      <sheetName val="40to63"/>
      <sheetName val="20to40"/>
      <sheetName val="Addl.40"/>
      <sheetName val="Addl.20"/>
      <sheetName val="SS-Cost"/>
      <sheetName val="Addl.63 (2)"/>
      <sheetName val="Addl_40"/>
      <sheetName val="Unit_Rate"/>
      <sheetName val="160MVA_Addl"/>
      <sheetName val="220KV_FB"/>
      <sheetName val="315MVA_Addl"/>
      <sheetName val="Addl_401"/>
      <sheetName val="Addl_20"/>
      <sheetName val="Addl_63_(2)"/>
      <sheetName val="132kv DCDS"/>
      <sheetName val=""/>
      <sheetName val="A 3_7"/>
      <sheetName val="04REL"/>
      <sheetName val="data"/>
      <sheetName val="Data base Feb 09"/>
      <sheetName val="grid"/>
    </sheetNames>
    <sheetDataSet>
      <sheetData sheetId="0">
        <row r="38">
          <cell r="A38" t="str">
            <v xml:space="preserve">ESTIMATE FOR INSTALLATION OF ADDITIONAL 1X40MVA 132/33KV TRANSFORMER AT EXISTING EHV SUBSTATION </v>
          </cell>
        </row>
      </sheetData>
      <sheetData sheetId="1">
        <row r="38">
          <cell r="A38" t="str">
            <v xml:space="preserve">ESTIMATE FOR INSTALLATION OF ADDITIONAL 1X40MVA 132/33KV TRANSFORMER AT EXISTING EHV SUBSTATION </v>
          </cell>
        </row>
      </sheetData>
      <sheetData sheetId="2">
        <row r="38">
          <cell r="A38" t="str">
            <v xml:space="preserve">ESTIMATE FOR INSTALLATION OF ADDITIONAL 1X40MVA 132/33KV TRANSFORMER AT EXISTING EHV SUBSTATION </v>
          </cell>
        </row>
      </sheetData>
      <sheetData sheetId="3"/>
      <sheetData sheetId="4"/>
      <sheetData sheetId="5"/>
      <sheetData sheetId="6"/>
      <sheetData sheetId="7"/>
      <sheetData sheetId="8"/>
      <sheetData sheetId="9"/>
      <sheetData sheetId="10"/>
      <sheetData sheetId="11"/>
      <sheetData sheetId="12">
        <row r="38">
          <cell r="A38" t="str">
            <v xml:space="preserve">ESTIMATE FOR INSTALLATION OF ADDITIONAL 1X40MVA 132/33KV TRANSFORMER AT EXISTING EHV SUBSTATION </v>
          </cell>
        </row>
        <row r="39">
          <cell r="A39" t="str">
            <v>ESTIMATE FOR INSTALLATION OF ADDITIONAL 1X40MVA 132/33KV TRANSFORMER AT EXISTING EHV SUBSTATION</v>
          </cell>
        </row>
        <row r="40">
          <cell r="A40" t="str">
            <v>SCHEDULE</v>
          </cell>
        </row>
        <row r="41">
          <cell r="A41" t="str">
            <v>SCHEDULE</v>
          </cell>
        </row>
        <row r="42">
          <cell r="A42" t="str">
            <v>TOTAL NO. OF LOCATIONS</v>
          </cell>
          <cell r="B42">
            <v>0</v>
          </cell>
          <cell r="C42">
            <v>1</v>
          </cell>
        </row>
        <row r="43">
          <cell r="C43">
            <v>1</v>
          </cell>
        </row>
        <row r="44">
          <cell r="A44" t="str">
            <v>SNO</v>
          </cell>
          <cell r="B44" t="str">
            <v>PARTICULARS</v>
          </cell>
          <cell r="C44" t="str">
            <v>Quantity</v>
          </cell>
          <cell r="D44" t="str">
            <v>EX-W Rate</v>
          </cell>
          <cell r="E44" t="str">
            <v>EX-W Amount</v>
          </cell>
          <cell r="F44" t="str">
            <v>Other Rate</v>
          </cell>
          <cell r="G44" t="str">
            <v>Other Amount</v>
          </cell>
          <cell r="H44" t="str">
            <v>Total Rate</v>
          </cell>
          <cell r="I44" t="str">
            <v>Total Amount</v>
          </cell>
        </row>
        <row r="45">
          <cell r="A45" t="str">
            <v>SNO</v>
          </cell>
          <cell r="B45" t="str">
            <v>PARTICULARS</v>
          </cell>
          <cell r="C45" t="str">
            <v>Quantity</v>
          </cell>
          <cell r="D45" t="str">
            <v>EX-W Rate</v>
          </cell>
          <cell r="E45" t="str">
            <v>EX-W Amount</v>
          </cell>
          <cell r="F45" t="str">
            <v>Other Rate</v>
          </cell>
          <cell r="G45" t="str">
            <v>Other Amount</v>
          </cell>
          <cell r="H45" t="str">
            <v>Total Rate</v>
          </cell>
          <cell r="I45" t="str">
            <v>Total Amount</v>
          </cell>
        </row>
        <row r="46">
          <cell r="A46" t="str">
            <v>(A)</v>
          </cell>
          <cell r="B46" t="str">
            <v>220KV EQUIPMENTS</v>
          </cell>
        </row>
        <row r="47">
          <cell r="A47" t="str">
            <v>(A)</v>
          </cell>
          <cell r="B47" t="str">
            <v>220KV EQUIPMENTS</v>
          </cell>
        </row>
        <row r="48">
          <cell r="A48">
            <v>1</v>
          </cell>
          <cell r="B48" t="str">
            <v>Circuit Breaker</v>
          </cell>
          <cell r="C48">
            <v>0</v>
          </cell>
          <cell r="D48">
            <v>13.429399999999999</v>
          </cell>
          <cell r="E48">
            <v>0</v>
          </cell>
          <cell r="F48">
            <v>1.0102</v>
          </cell>
          <cell r="G48">
            <v>0</v>
          </cell>
          <cell r="H48">
            <v>14.439599999999999</v>
          </cell>
          <cell r="I48">
            <v>0</v>
          </cell>
        </row>
        <row r="49">
          <cell r="A49">
            <v>2</v>
          </cell>
          <cell r="B49" t="str">
            <v>Current Transformer</v>
          </cell>
          <cell r="C49">
            <v>0</v>
          </cell>
          <cell r="D49">
            <v>1.3</v>
          </cell>
          <cell r="E49">
            <v>0</v>
          </cell>
          <cell r="F49">
            <v>9.1999999999999998E-2</v>
          </cell>
          <cell r="G49">
            <v>0</v>
          </cell>
          <cell r="H49">
            <v>1.3920000000000001</v>
          </cell>
          <cell r="I49">
            <v>0</v>
          </cell>
        </row>
        <row r="50">
          <cell r="A50">
            <v>3</v>
          </cell>
          <cell r="B50" t="str">
            <v>Isolator (with E/S)</v>
          </cell>
          <cell r="C50">
            <v>0</v>
          </cell>
          <cell r="D50">
            <v>0.50570000000000004</v>
          </cell>
          <cell r="E50">
            <v>0</v>
          </cell>
          <cell r="F50">
            <v>3.2899999999999999E-2</v>
          </cell>
          <cell r="G50">
            <v>0</v>
          </cell>
          <cell r="H50">
            <v>0.53860000000000008</v>
          </cell>
          <cell r="I50">
            <v>0</v>
          </cell>
        </row>
        <row r="51">
          <cell r="A51">
            <v>4</v>
          </cell>
          <cell r="B51" t="str">
            <v>Isolator (without E/S)</v>
          </cell>
          <cell r="C51">
            <v>0</v>
          </cell>
          <cell r="D51">
            <v>0.50570000000000004</v>
          </cell>
          <cell r="E51">
            <v>0</v>
          </cell>
          <cell r="F51">
            <v>3.2899999999999999E-2</v>
          </cell>
          <cell r="G51">
            <v>0</v>
          </cell>
          <cell r="H51">
            <v>0.53860000000000008</v>
          </cell>
          <cell r="I51">
            <v>0</v>
          </cell>
        </row>
        <row r="52">
          <cell r="A52">
            <v>5</v>
          </cell>
          <cell r="B52" t="str">
            <v>LA</v>
          </cell>
          <cell r="C52">
            <v>0</v>
          </cell>
          <cell r="D52">
            <v>0.4234</v>
          </cell>
          <cell r="E52">
            <v>0</v>
          </cell>
          <cell r="F52">
            <v>2.6100000000000002E-2</v>
          </cell>
          <cell r="G52">
            <v>0</v>
          </cell>
          <cell r="H52">
            <v>0.44950000000000001</v>
          </cell>
          <cell r="I52">
            <v>0</v>
          </cell>
        </row>
        <row r="53">
          <cell r="A53">
            <v>6</v>
          </cell>
          <cell r="B53" t="str">
            <v>PI / Solid Core Insulators</v>
          </cell>
          <cell r="C53">
            <v>0</v>
          </cell>
          <cell r="D53">
            <v>0.14399999999999999</v>
          </cell>
          <cell r="E53">
            <v>0</v>
          </cell>
          <cell r="F53">
            <v>9.7999999999999997E-3</v>
          </cell>
          <cell r="G53">
            <v>0</v>
          </cell>
          <cell r="H53">
            <v>0.15379999999999999</v>
          </cell>
          <cell r="I53">
            <v>0</v>
          </cell>
        </row>
        <row r="54">
          <cell r="A54">
            <v>7</v>
          </cell>
          <cell r="B54" t="str">
            <v>C&amp;R Panel(For feeder)</v>
          </cell>
          <cell r="C54">
            <v>0</v>
          </cell>
          <cell r="D54">
            <v>4.5674999999999999</v>
          </cell>
          <cell r="E54">
            <v>0</v>
          </cell>
          <cell r="F54">
            <v>9.1399999999999995E-2</v>
          </cell>
          <cell r="G54">
            <v>0</v>
          </cell>
          <cell r="H54">
            <v>4.6589</v>
          </cell>
          <cell r="I54">
            <v>0</v>
          </cell>
        </row>
        <row r="55">
          <cell r="A55">
            <v>8</v>
          </cell>
          <cell r="B55" t="str">
            <v>C&amp;R Panel (for transformer)</v>
          </cell>
          <cell r="C55">
            <v>0</v>
          </cell>
          <cell r="D55">
            <v>4.5674999999999999</v>
          </cell>
          <cell r="E55">
            <v>0</v>
          </cell>
          <cell r="F55">
            <v>9.1399999999999995E-2</v>
          </cell>
          <cell r="G55">
            <v>0</v>
          </cell>
          <cell r="H55">
            <v>4.6589</v>
          </cell>
          <cell r="I55">
            <v>0</v>
          </cell>
        </row>
        <row r="56">
          <cell r="A56">
            <v>9</v>
          </cell>
          <cell r="B56" t="str">
            <v>C&amp;R Panel (Bus coup./Bus tie)</v>
          </cell>
          <cell r="C56">
            <v>0</v>
          </cell>
          <cell r="D56">
            <v>4.5674999999999999</v>
          </cell>
          <cell r="E56">
            <v>0</v>
          </cell>
          <cell r="F56">
            <v>9.1399999999999995E-2</v>
          </cell>
          <cell r="G56">
            <v>0</v>
          </cell>
          <cell r="H56">
            <v>4.6589</v>
          </cell>
          <cell r="I56">
            <v>0</v>
          </cell>
        </row>
        <row r="57">
          <cell r="A57">
            <v>10</v>
          </cell>
          <cell r="B57" t="str">
            <v>Synchroscope</v>
          </cell>
          <cell r="C57">
            <v>0</v>
          </cell>
          <cell r="D57">
            <v>0</v>
          </cell>
          <cell r="E57">
            <v>0</v>
          </cell>
          <cell r="F57">
            <v>1.5</v>
          </cell>
          <cell r="G57">
            <v>0</v>
          </cell>
          <cell r="H57">
            <v>1.5</v>
          </cell>
          <cell r="I57">
            <v>0</v>
          </cell>
        </row>
        <row r="58">
          <cell r="A58">
            <v>11</v>
          </cell>
          <cell r="B58" t="str">
            <v>PT</v>
          </cell>
          <cell r="C58">
            <v>0</v>
          </cell>
          <cell r="D58">
            <v>1.5</v>
          </cell>
          <cell r="E58">
            <v>0</v>
          </cell>
          <cell r="F58">
            <v>0.1</v>
          </cell>
          <cell r="G58">
            <v>0</v>
          </cell>
          <cell r="H58">
            <v>1.6</v>
          </cell>
          <cell r="I58">
            <v>0</v>
          </cell>
        </row>
        <row r="59">
          <cell r="A59">
            <v>12</v>
          </cell>
          <cell r="B59" t="str">
            <v>Suspension/Tension String with H/W</v>
          </cell>
          <cell r="C59">
            <v>0</v>
          </cell>
          <cell r="D59">
            <v>6.0785000000000006E-2</v>
          </cell>
          <cell r="E59">
            <v>0</v>
          </cell>
          <cell r="F59">
            <v>6.0000000000000001E-3</v>
          </cell>
          <cell r="G59">
            <v>0</v>
          </cell>
          <cell r="H59">
            <v>6.6785000000000011E-2</v>
          </cell>
          <cell r="I59">
            <v>0</v>
          </cell>
        </row>
        <row r="60">
          <cell r="A60">
            <v>13</v>
          </cell>
          <cell r="B60" t="str">
            <v>Double Tension String with H/W</v>
          </cell>
          <cell r="C60">
            <v>0</v>
          </cell>
          <cell r="D60">
            <v>0.11468500000000001</v>
          </cell>
          <cell r="E60">
            <v>0</v>
          </cell>
          <cell r="F60">
            <v>1.1599999999999999E-2</v>
          </cell>
          <cell r="G60">
            <v>0</v>
          </cell>
          <cell r="H60">
            <v>0.12628500000000001</v>
          </cell>
          <cell r="I60">
            <v>0</v>
          </cell>
        </row>
        <row r="61">
          <cell r="A61">
            <v>13</v>
          </cell>
          <cell r="B61" t="str">
            <v>Double Tension String with H/W</v>
          </cell>
          <cell r="C61">
            <v>0</v>
          </cell>
          <cell r="D61">
            <v>0.114685</v>
          </cell>
          <cell r="E61">
            <v>0</v>
          </cell>
          <cell r="F61">
            <v>1.1599999999999999E-2</v>
          </cell>
          <cell r="G61">
            <v>0</v>
          </cell>
          <cell r="H61">
            <v>0.12628500000000001</v>
          </cell>
          <cell r="I61">
            <v>0</v>
          </cell>
        </row>
        <row r="62">
          <cell r="B62" t="str">
            <v>SUB TOTAL (A)</v>
          </cell>
          <cell r="C62" t="str">
            <v xml:space="preserve"> </v>
          </cell>
          <cell r="D62">
            <v>0</v>
          </cell>
          <cell r="E62">
            <v>0</v>
          </cell>
          <cell r="F62">
            <v>0</v>
          </cell>
          <cell r="G62">
            <v>0</v>
          </cell>
          <cell r="H62">
            <v>0</v>
          </cell>
          <cell r="I62">
            <v>0</v>
          </cell>
        </row>
        <row r="63">
          <cell r="I63">
            <v>0</v>
          </cell>
        </row>
        <row r="64">
          <cell r="A64" t="str">
            <v>(B)</v>
          </cell>
          <cell r="B64" t="str">
            <v>132KV EQUIPMENTS</v>
          </cell>
        </row>
        <row r="65">
          <cell r="A65" t="str">
            <v>(B)</v>
          </cell>
          <cell r="B65" t="str">
            <v>132KV EQUIPMENTS</v>
          </cell>
        </row>
        <row r="66">
          <cell r="A66">
            <v>1</v>
          </cell>
          <cell r="B66" t="str">
            <v>Circuit Breaker</v>
          </cell>
          <cell r="C66">
            <v>1</v>
          </cell>
          <cell r="D66">
            <v>6.4887000000000015</v>
          </cell>
          <cell r="E66">
            <v>6.4887000000000015</v>
          </cell>
          <cell r="F66">
            <v>0.57534999999999992</v>
          </cell>
          <cell r="G66">
            <v>0.57534999999999992</v>
          </cell>
          <cell r="H66">
            <v>7.0640500000000017</v>
          </cell>
          <cell r="I66">
            <v>7.0640500000000017</v>
          </cell>
        </row>
        <row r="67">
          <cell r="A67">
            <v>2</v>
          </cell>
          <cell r="B67" t="str">
            <v>CT</v>
          </cell>
          <cell r="C67">
            <v>3</v>
          </cell>
          <cell r="D67">
            <v>0.6766871508379888</v>
          </cell>
          <cell r="E67">
            <v>2.0300614525139666</v>
          </cell>
          <cell r="F67">
            <v>4.9566480446927373E-2</v>
          </cell>
          <cell r="G67">
            <v>0.14869944134078211</v>
          </cell>
          <cell r="H67">
            <v>0.72625363128491616</v>
          </cell>
          <cell r="I67">
            <v>2.1787608938547489</v>
          </cell>
        </row>
        <row r="68">
          <cell r="A68">
            <v>3</v>
          </cell>
          <cell r="B68" t="str">
            <v xml:space="preserve">Isolator  with E/S </v>
          </cell>
          <cell r="C68">
            <v>0</v>
          </cell>
          <cell r="D68">
            <v>0.32090000000000002</v>
          </cell>
          <cell r="E68">
            <v>0</v>
          </cell>
          <cell r="F68">
            <v>2.4400000000000002E-2</v>
          </cell>
          <cell r="G68">
            <v>0</v>
          </cell>
          <cell r="H68">
            <v>0.3453</v>
          </cell>
          <cell r="I68">
            <v>0</v>
          </cell>
        </row>
        <row r="69">
          <cell r="A69">
            <v>4</v>
          </cell>
          <cell r="B69" t="str">
            <v>Isolator without E/S</v>
          </cell>
          <cell r="C69">
            <v>3</v>
          </cell>
          <cell r="D69">
            <v>0.32090000000000002</v>
          </cell>
          <cell r="E69">
            <v>0.96270000000000011</v>
          </cell>
          <cell r="F69">
            <v>2.4400000000000002E-2</v>
          </cell>
          <cell r="G69">
            <v>7.3200000000000001E-2</v>
          </cell>
          <cell r="H69">
            <v>0.3453</v>
          </cell>
          <cell r="I69">
            <v>1.0359</v>
          </cell>
        </row>
        <row r="70">
          <cell r="A70">
            <v>5</v>
          </cell>
          <cell r="B70" t="str">
            <v>PT</v>
          </cell>
          <cell r="C70">
            <v>0</v>
          </cell>
          <cell r="D70">
            <v>0.65</v>
          </cell>
          <cell r="E70">
            <v>0</v>
          </cell>
          <cell r="F70">
            <v>5.6000000000000001E-2</v>
          </cell>
          <cell r="G70">
            <v>0</v>
          </cell>
          <cell r="H70">
            <v>0.70600000000000007</v>
          </cell>
          <cell r="I70">
            <v>0</v>
          </cell>
        </row>
        <row r="71">
          <cell r="A71">
            <v>6</v>
          </cell>
          <cell r="B71" t="str">
            <v>LA</v>
          </cell>
          <cell r="C71">
            <v>3</v>
          </cell>
          <cell r="D71">
            <v>0.2258</v>
          </cell>
          <cell r="E71">
            <v>0.6774</v>
          </cell>
          <cell r="F71">
            <v>1.4200000000000001E-2</v>
          </cell>
          <cell r="G71">
            <v>4.2599999999999999E-2</v>
          </cell>
          <cell r="H71">
            <v>0.24</v>
          </cell>
          <cell r="I71">
            <v>0.72</v>
          </cell>
        </row>
        <row r="72">
          <cell r="A72">
            <v>7</v>
          </cell>
          <cell r="B72" t="str">
            <v>C&amp;R Panel (for 220/132KV Xmer)</v>
          </cell>
          <cell r="C72">
            <v>0</v>
          </cell>
          <cell r="D72">
            <v>4.9398999999999997</v>
          </cell>
          <cell r="E72">
            <v>0</v>
          </cell>
          <cell r="F72">
            <v>0.32175000000000004</v>
          </cell>
          <cell r="G72">
            <v>0</v>
          </cell>
          <cell r="H72">
            <v>5.2616499999999995</v>
          </cell>
          <cell r="I72">
            <v>0</v>
          </cell>
        </row>
        <row r="73">
          <cell r="A73">
            <v>8</v>
          </cell>
          <cell r="B73" t="str">
            <v>C&amp;R Panel (for 132/33KV Xmer)</v>
          </cell>
          <cell r="C73">
            <v>1</v>
          </cell>
          <cell r="D73">
            <v>4.9398999999999997</v>
          </cell>
          <cell r="E73">
            <v>4.9398999999999997</v>
          </cell>
          <cell r="F73">
            <v>0.32175000000000004</v>
          </cell>
          <cell r="G73">
            <v>0.32175000000000004</v>
          </cell>
          <cell r="H73">
            <v>5.2616499999999995</v>
          </cell>
          <cell r="I73">
            <v>5.2616499999999995</v>
          </cell>
        </row>
        <row r="74">
          <cell r="A74">
            <v>9</v>
          </cell>
          <cell r="B74" t="str">
            <v>C&amp;R Panel (for Feeder)</v>
          </cell>
          <cell r="C74">
            <v>0</v>
          </cell>
          <cell r="D74">
            <v>4.9398999999999997</v>
          </cell>
          <cell r="E74">
            <v>0</v>
          </cell>
          <cell r="F74">
            <v>0.32175000000000004</v>
          </cell>
          <cell r="G74">
            <v>0</v>
          </cell>
          <cell r="H74">
            <v>5.2616499999999995</v>
          </cell>
          <cell r="I74">
            <v>0</v>
          </cell>
        </row>
        <row r="75">
          <cell r="A75">
            <v>10</v>
          </cell>
          <cell r="B75" t="str">
            <v>C&amp;R Panel (for Bus coupler)</v>
          </cell>
          <cell r="C75">
            <v>0</v>
          </cell>
          <cell r="D75">
            <v>4.9398999999999997</v>
          </cell>
          <cell r="E75">
            <v>0</v>
          </cell>
          <cell r="F75">
            <v>0.32175000000000004</v>
          </cell>
          <cell r="G75">
            <v>0</v>
          </cell>
          <cell r="H75">
            <v>5.2616499999999995</v>
          </cell>
          <cell r="I75">
            <v>0</v>
          </cell>
        </row>
        <row r="76">
          <cell r="A76">
            <v>11</v>
          </cell>
          <cell r="B76" t="str">
            <v>PI/Solid Core Insulators</v>
          </cell>
          <cell r="C76">
            <v>36</v>
          </cell>
          <cell r="D76">
            <v>7.2499999999999995E-2</v>
          </cell>
          <cell r="E76">
            <v>2.61</v>
          </cell>
          <cell r="F76">
            <v>1.4E-2</v>
          </cell>
          <cell r="G76">
            <v>0.504</v>
          </cell>
          <cell r="H76">
            <v>8.6499999999999994E-2</v>
          </cell>
          <cell r="I76">
            <v>3.1139999999999999</v>
          </cell>
        </row>
        <row r="77">
          <cell r="A77">
            <v>12</v>
          </cell>
          <cell r="B77" t="str">
            <v>Suspension &amp; Tension String with H/W</v>
          </cell>
          <cell r="C77">
            <v>20</v>
          </cell>
          <cell r="D77">
            <v>3.6319999999999998E-2</v>
          </cell>
          <cell r="E77">
            <v>0.72639999999999993</v>
          </cell>
          <cell r="F77">
            <v>3.9924999999999995E-3</v>
          </cell>
          <cell r="G77">
            <v>7.984999999999999E-2</v>
          </cell>
          <cell r="H77">
            <v>4.0312500000000001E-2</v>
          </cell>
          <cell r="I77">
            <v>0.80624999999999991</v>
          </cell>
        </row>
        <row r="78">
          <cell r="A78">
            <v>13</v>
          </cell>
          <cell r="B78" t="str">
            <v>Double Tension String with H/W</v>
          </cell>
          <cell r="C78">
            <v>8</v>
          </cell>
          <cell r="D78">
            <v>5.9319999999999998E-2</v>
          </cell>
          <cell r="E78">
            <v>0.47455999999999998</v>
          </cell>
          <cell r="F78">
            <v>6.9924999999999987E-3</v>
          </cell>
          <cell r="G78">
            <v>5.593999999999999E-2</v>
          </cell>
          <cell r="H78">
            <v>6.6312499999999996E-2</v>
          </cell>
          <cell r="I78">
            <v>0.53049999999999997</v>
          </cell>
        </row>
        <row r="79">
          <cell r="A79">
            <v>13</v>
          </cell>
          <cell r="B79" t="str">
            <v>Double Tension String with H/W</v>
          </cell>
          <cell r="C79">
            <v>8</v>
          </cell>
          <cell r="D79">
            <v>5.9319999999999998E-2</v>
          </cell>
          <cell r="E79">
            <v>0.47455999999999998</v>
          </cell>
          <cell r="F79">
            <v>6.992E-3</v>
          </cell>
          <cell r="G79">
            <v>5.5939999999999997E-2</v>
          </cell>
          <cell r="H79">
            <v>6.6311999999999996E-2</v>
          </cell>
          <cell r="I79">
            <v>0.53049999999999997</v>
          </cell>
        </row>
        <row r="80">
          <cell r="B80" t="str">
            <v>SUB TOTAL (B)</v>
          </cell>
          <cell r="C80">
            <v>0</v>
          </cell>
          <cell r="D80">
            <v>0</v>
          </cell>
          <cell r="E80">
            <v>18.909721452513967</v>
          </cell>
          <cell r="F80">
            <v>0</v>
          </cell>
          <cell r="G80">
            <v>1.801389441340782</v>
          </cell>
          <cell r="H80">
            <v>0</v>
          </cell>
          <cell r="I80">
            <v>20.711110893854752</v>
          </cell>
        </row>
        <row r="81">
          <cell r="I81">
            <v>20.711110999999999</v>
          </cell>
        </row>
        <row r="82">
          <cell r="A82" t="str">
            <v>(C)</v>
          </cell>
          <cell r="B82" t="str">
            <v>33KV EQUIPMENTS</v>
          </cell>
        </row>
        <row r="83">
          <cell r="A83" t="str">
            <v>(C)</v>
          </cell>
          <cell r="B83" t="str">
            <v>33KV EQUIPMENTS</v>
          </cell>
        </row>
        <row r="84">
          <cell r="A84">
            <v>1</v>
          </cell>
          <cell r="B84" t="str">
            <v>Circuit Breaker</v>
          </cell>
          <cell r="C84">
            <v>1</v>
          </cell>
          <cell r="D84">
            <v>2.3801000000000001</v>
          </cell>
          <cell r="E84">
            <v>2.3801000000000001</v>
          </cell>
          <cell r="F84">
            <v>0.1452</v>
          </cell>
          <cell r="G84">
            <v>0.1452</v>
          </cell>
          <cell r="H84">
            <v>2.5253000000000001</v>
          </cell>
          <cell r="I84">
            <v>2.5253000000000001</v>
          </cell>
        </row>
        <row r="85">
          <cell r="A85">
            <v>2</v>
          </cell>
          <cell r="B85" t="str">
            <v>CT</v>
          </cell>
          <cell r="C85">
            <v>3</v>
          </cell>
          <cell r="D85">
            <v>0.1192</v>
          </cell>
          <cell r="E85">
            <v>0.35760000000000003</v>
          </cell>
          <cell r="F85">
            <v>1.23E-2</v>
          </cell>
          <cell r="G85">
            <v>3.6900000000000002E-2</v>
          </cell>
          <cell r="H85">
            <v>0.13150000000000001</v>
          </cell>
          <cell r="I85">
            <v>0.39450000000000002</v>
          </cell>
        </row>
        <row r="86">
          <cell r="A86">
            <v>3</v>
          </cell>
          <cell r="B86" t="str">
            <v>LA</v>
          </cell>
          <cell r="C86">
            <v>3</v>
          </cell>
          <cell r="D86">
            <v>3.6799999999999999E-2</v>
          </cell>
          <cell r="E86">
            <v>0.1104</v>
          </cell>
          <cell r="F86">
            <v>2.3E-3</v>
          </cell>
          <cell r="G86">
            <v>6.8999999999999999E-3</v>
          </cell>
          <cell r="H86">
            <v>3.9099999999999996E-2</v>
          </cell>
          <cell r="I86">
            <v>0.1173</v>
          </cell>
        </row>
        <row r="87">
          <cell r="A87">
            <v>4</v>
          </cell>
          <cell r="B87" t="str">
            <v>Potential transformer</v>
          </cell>
          <cell r="C87">
            <v>0</v>
          </cell>
          <cell r="D87">
            <v>1.2500000000000001E-2</v>
          </cell>
          <cell r="E87">
            <v>0</v>
          </cell>
          <cell r="F87">
            <v>2E-3</v>
          </cell>
          <cell r="G87">
            <v>0</v>
          </cell>
          <cell r="H87">
            <v>1.4500000000000001E-2</v>
          </cell>
          <cell r="I87">
            <v>0</v>
          </cell>
        </row>
        <row r="88">
          <cell r="A88">
            <v>5</v>
          </cell>
          <cell r="B88" t="str">
            <v>Isolator (with E/S) with insulator</v>
          </cell>
          <cell r="C88">
            <v>0</v>
          </cell>
          <cell r="D88">
            <v>0.10929999999999999</v>
          </cell>
          <cell r="E88">
            <v>0</v>
          </cell>
          <cell r="F88">
            <v>7.4999999999999997E-3</v>
          </cell>
          <cell r="G88">
            <v>0</v>
          </cell>
          <cell r="H88">
            <v>0.11679999999999999</v>
          </cell>
          <cell r="I88">
            <v>0</v>
          </cell>
        </row>
        <row r="89">
          <cell r="A89">
            <v>6</v>
          </cell>
          <cell r="B89" t="str">
            <v>Isolator (without E/S) with insulator</v>
          </cell>
          <cell r="C89">
            <v>2</v>
          </cell>
          <cell r="D89">
            <v>0.10929999999999999</v>
          </cell>
          <cell r="E89">
            <v>0.21859999999999999</v>
          </cell>
          <cell r="F89">
            <v>7.4999999999999997E-3</v>
          </cell>
          <cell r="G89">
            <v>1.4999999999999999E-2</v>
          </cell>
          <cell r="H89">
            <v>0.11679999999999999</v>
          </cell>
          <cell r="I89">
            <v>0.23359999999999997</v>
          </cell>
        </row>
        <row r="90">
          <cell r="A90">
            <v>7</v>
          </cell>
          <cell r="B90" t="str">
            <v>C&amp;R Panel(for transformer)</v>
          </cell>
          <cell r="C90">
            <v>1</v>
          </cell>
          <cell r="D90">
            <v>1.8125</v>
          </cell>
          <cell r="E90">
            <v>1.8125</v>
          </cell>
          <cell r="F90">
            <v>9.4200000000000006E-2</v>
          </cell>
          <cell r="G90">
            <v>9.4200000000000006E-2</v>
          </cell>
          <cell r="H90">
            <v>1.9067000000000001</v>
          </cell>
          <cell r="I90">
            <v>1.9067000000000001</v>
          </cell>
        </row>
        <row r="91">
          <cell r="A91">
            <v>8</v>
          </cell>
          <cell r="B91" t="str">
            <v>C&amp;R Panel (for two feeder circuit)</v>
          </cell>
          <cell r="C91">
            <v>0</v>
          </cell>
          <cell r="D91">
            <v>1.8125</v>
          </cell>
          <cell r="E91">
            <v>0</v>
          </cell>
          <cell r="F91">
            <v>9.4200000000000006E-2</v>
          </cell>
          <cell r="G91">
            <v>0</v>
          </cell>
          <cell r="H91">
            <v>1.9067000000000001</v>
          </cell>
          <cell r="I91">
            <v>0</v>
          </cell>
        </row>
        <row r="92">
          <cell r="A92">
            <v>9</v>
          </cell>
          <cell r="B92" t="str">
            <v>Solid Core Insulators</v>
          </cell>
          <cell r="C92">
            <v>3</v>
          </cell>
          <cell r="D92">
            <v>1.2500000000000001E-2</v>
          </cell>
          <cell r="E92">
            <v>3.7500000000000006E-2</v>
          </cell>
          <cell r="F92">
            <v>2E-3</v>
          </cell>
          <cell r="G92">
            <v>6.0000000000000001E-3</v>
          </cell>
          <cell r="H92">
            <v>1.4500000000000001E-2</v>
          </cell>
          <cell r="I92">
            <v>4.3500000000000004E-2</v>
          </cell>
        </row>
        <row r="93">
          <cell r="A93">
            <v>10</v>
          </cell>
          <cell r="B93" t="str">
            <v>Suspension/Tension String with H/W</v>
          </cell>
          <cell r="C93">
            <v>12</v>
          </cell>
          <cell r="D93">
            <v>5.1900000000000002E-3</v>
          </cell>
          <cell r="E93">
            <v>4.1520000000000001E-2</v>
          </cell>
          <cell r="F93">
            <v>2.4000000000000002E-3</v>
          </cell>
          <cell r="G93">
            <v>1.9200000000000002E-2</v>
          </cell>
          <cell r="H93">
            <v>7.5900000000000004E-3</v>
          </cell>
          <cell r="I93">
            <v>6.0720000000000003E-2</v>
          </cell>
        </row>
        <row r="94">
          <cell r="A94">
            <v>11</v>
          </cell>
          <cell r="B94" t="str">
            <v>Double Tension String with H/W</v>
          </cell>
          <cell r="C94">
            <v>8</v>
          </cell>
          <cell r="D94">
            <v>1.038E-2</v>
          </cell>
          <cell r="E94">
            <v>0.12456</v>
          </cell>
          <cell r="F94">
            <v>4.5999999999999999E-3</v>
          </cell>
          <cell r="G94">
            <v>5.5199999999999999E-2</v>
          </cell>
          <cell r="H94">
            <v>1.498E-2</v>
          </cell>
          <cell r="I94">
            <v>0.17976</v>
          </cell>
        </row>
        <row r="95">
          <cell r="A95">
            <v>11</v>
          </cell>
          <cell r="B95" t="str">
            <v>Double Tension String with H/W</v>
          </cell>
          <cell r="C95">
            <v>8</v>
          </cell>
          <cell r="D95">
            <v>1.038E-2</v>
          </cell>
          <cell r="E95">
            <v>0.12456</v>
          </cell>
          <cell r="F95">
            <v>4.5999999999999999E-3</v>
          </cell>
          <cell r="G95">
            <v>5.5199999999999999E-2</v>
          </cell>
          <cell r="H95">
            <v>1.498E-2</v>
          </cell>
          <cell r="I95">
            <v>0.17976</v>
          </cell>
        </row>
        <row r="96">
          <cell r="B96" t="str">
            <v>SUB TOTAL (C)</v>
          </cell>
          <cell r="C96">
            <v>0</v>
          </cell>
          <cell r="D96">
            <v>0</v>
          </cell>
          <cell r="E96">
            <v>5.0827799999999996</v>
          </cell>
          <cell r="F96">
            <v>0</v>
          </cell>
          <cell r="G96">
            <v>0.37859999999999994</v>
          </cell>
          <cell r="H96">
            <v>0</v>
          </cell>
          <cell r="I96">
            <v>5.4613800000000001</v>
          </cell>
        </row>
        <row r="97">
          <cell r="I97">
            <v>5.4613800000000001</v>
          </cell>
        </row>
        <row r="98">
          <cell r="A98" t="str">
            <v>(D)</v>
          </cell>
          <cell r="B98" t="str">
            <v>TRANSFORMER &amp; ASSOCIATED EQUIP.</v>
          </cell>
        </row>
        <row r="99">
          <cell r="A99" t="str">
            <v>(D)</v>
          </cell>
          <cell r="B99" t="str">
            <v>TRANSFORMER &amp; ASSOCIATED EQUIP.</v>
          </cell>
        </row>
        <row r="100">
          <cell r="A100">
            <v>1</v>
          </cell>
          <cell r="B100" t="str">
            <v>160MVA 220/132KV Xmer
(with oil and associated eqip.)</v>
          </cell>
          <cell r="C100">
            <v>0</v>
          </cell>
          <cell r="D100">
            <v>307.5</v>
          </cell>
          <cell r="E100">
            <v>0</v>
          </cell>
          <cell r="F100">
            <v>12.34</v>
          </cell>
          <cell r="G100">
            <v>0</v>
          </cell>
          <cell r="H100">
            <v>319.83999999999997</v>
          </cell>
          <cell r="I100">
            <v>0</v>
          </cell>
        </row>
        <row r="101">
          <cell r="A101">
            <v>2</v>
          </cell>
          <cell r="B101" t="str">
            <v>40MVA 132/33KV Xmer 
(with oil and associated equip.)</v>
          </cell>
          <cell r="C101">
            <v>1</v>
          </cell>
          <cell r="D101">
            <v>124.35869344262296</v>
          </cell>
          <cell r="E101">
            <v>124.35869344262296</v>
          </cell>
          <cell r="F101">
            <v>8.5145573770491794</v>
          </cell>
          <cell r="G101">
            <v>8.5145573770491794</v>
          </cell>
          <cell r="H101">
            <v>132.87325081967214</v>
          </cell>
          <cell r="I101">
            <v>132.87325081967214</v>
          </cell>
        </row>
        <row r="102">
          <cell r="A102">
            <v>3</v>
          </cell>
          <cell r="B102" t="str">
            <v>Oil filteration Machine(500 Gl.per Hr.)</v>
          </cell>
          <cell r="C102">
            <v>1</v>
          </cell>
          <cell r="D102">
            <v>2.2738</v>
          </cell>
          <cell r="E102">
            <v>2.2738</v>
          </cell>
          <cell r="F102">
            <v>0.30199999999999999</v>
          </cell>
          <cell r="G102">
            <v>0.30199999999999999</v>
          </cell>
          <cell r="H102">
            <v>2.5758000000000001</v>
          </cell>
          <cell r="I102">
            <v>2.5758000000000001</v>
          </cell>
        </row>
        <row r="103">
          <cell r="A103">
            <v>4</v>
          </cell>
          <cell r="B103" t="str">
            <v>Oil Storage Tank (15/20 KL)</v>
          </cell>
          <cell r="C103">
            <v>0</v>
          </cell>
          <cell r="D103">
            <v>0</v>
          </cell>
          <cell r="E103">
            <v>0</v>
          </cell>
          <cell r="F103">
            <v>2</v>
          </cell>
          <cell r="G103">
            <v>0</v>
          </cell>
          <cell r="H103">
            <v>2</v>
          </cell>
          <cell r="I103">
            <v>0</v>
          </cell>
        </row>
        <row r="104">
          <cell r="A104">
            <v>4</v>
          </cell>
          <cell r="B104" t="str">
            <v>Oil Storage Tank (15/20 KL)</v>
          </cell>
          <cell r="C104">
            <v>0</v>
          </cell>
          <cell r="D104">
            <v>0</v>
          </cell>
          <cell r="E104">
            <v>0</v>
          </cell>
          <cell r="F104">
            <v>2</v>
          </cell>
          <cell r="G104">
            <v>0</v>
          </cell>
          <cell r="H104">
            <v>2</v>
          </cell>
          <cell r="I104">
            <v>0</v>
          </cell>
        </row>
        <row r="105">
          <cell r="B105" t="str">
            <v>SUB TOTAL (D)</v>
          </cell>
          <cell r="C105">
            <v>0</v>
          </cell>
          <cell r="D105">
            <v>0</v>
          </cell>
          <cell r="E105">
            <v>126.63249344262296</v>
          </cell>
          <cell r="F105">
            <v>0</v>
          </cell>
          <cell r="G105">
            <v>8.816557377049179</v>
          </cell>
          <cell r="H105">
            <v>0</v>
          </cell>
          <cell r="I105">
            <v>135.44905081967212</v>
          </cell>
        </row>
        <row r="106">
          <cell r="I106">
            <v>135.449051</v>
          </cell>
        </row>
        <row r="107">
          <cell r="A107" t="str">
            <v>(E)</v>
          </cell>
          <cell r="B107" t="str">
            <v xml:space="preserve">220KV &amp;132KV Carrier Comm.Equip.including provision for </v>
          </cell>
        </row>
        <row r="108">
          <cell r="B108" t="str">
            <v>telemetering etc.&amp; sending s/ss reqmnt</v>
          </cell>
        </row>
        <row r="109">
          <cell r="B109" t="str">
            <v>telemetering etc.&amp; sending s/ss reqmnt</v>
          </cell>
        </row>
        <row r="110">
          <cell r="A110">
            <v>1</v>
          </cell>
          <cell r="B110" t="str">
            <v>Carrier cabinet</v>
          </cell>
          <cell r="C110">
            <v>0</v>
          </cell>
          <cell r="D110">
            <v>3.5</v>
          </cell>
          <cell r="E110">
            <v>0</v>
          </cell>
          <cell r="F110">
            <v>3.5709999999999999E-2</v>
          </cell>
          <cell r="G110">
            <v>0</v>
          </cell>
          <cell r="H110">
            <v>3.5357099999999999</v>
          </cell>
          <cell r="I110">
            <v>0</v>
          </cell>
        </row>
        <row r="111">
          <cell r="A111">
            <v>2</v>
          </cell>
          <cell r="B111" t="str">
            <v>Coupling Devices (LMU)</v>
          </cell>
          <cell r="C111">
            <v>0</v>
          </cell>
          <cell r="D111">
            <v>0.8</v>
          </cell>
          <cell r="E111">
            <v>0</v>
          </cell>
          <cell r="F111">
            <v>0</v>
          </cell>
          <cell r="G111">
            <v>0</v>
          </cell>
          <cell r="H111">
            <v>0.8</v>
          </cell>
          <cell r="I111">
            <v>0</v>
          </cell>
        </row>
        <row r="112">
          <cell r="A112">
            <v>3</v>
          </cell>
          <cell r="B112" t="str">
            <v>Protection coupler</v>
          </cell>
          <cell r="C112">
            <v>0</v>
          </cell>
          <cell r="D112">
            <v>1.7</v>
          </cell>
          <cell r="E112">
            <v>0</v>
          </cell>
          <cell r="F112">
            <v>0</v>
          </cell>
          <cell r="G112">
            <v>0</v>
          </cell>
          <cell r="H112">
            <v>1.7</v>
          </cell>
          <cell r="I112">
            <v>0</v>
          </cell>
        </row>
        <row r="113">
          <cell r="A113">
            <v>4</v>
          </cell>
          <cell r="B113" t="str">
            <v>EPAX</v>
          </cell>
          <cell r="C113">
            <v>0</v>
          </cell>
          <cell r="D113">
            <v>2.5</v>
          </cell>
          <cell r="E113">
            <v>0</v>
          </cell>
          <cell r="F113">
            <v>0</v>
          </cell>
          <cell r="G113">
            <v>0</v>
          </cell>
          <cell r="H113">
            <v>2.5</v>
          </cell>
          <cell r="I113">
            <v>0</v>
          </cell>
        </row>
        <row r="114">
          <cell r="A114">
            <v>5</v>
          </cell>
          <cell r="B114" t="str">
            <v>Telephone Sets</v>
          </cell>
          <cell r="C114">
            <v>0</v>
          </cell>
          <cell r="D114">
            <v>0.01</v>
          </cell>
          <cell r="E114">
            <v>0</v>
          </cell>
          <cell r="F114">
            <v>0</v>
          </cell>
          <cell r="G114">
            <v>0</v>
          </cell>
          <cell r="H114">
            <v>0.01</v>
          </cell>
          <cell r="I114">
            <v>0</v>
          </cell>
        </row>
        <row r="115">
          <cell r="A115">
            <v>6</v>
          </cell>
          <cell r="B115" t="str">
            <v>Coxial Cable (KM)</v>
          </cell>
          <cell r="C115">
            <v>0</v>
          </cell>
          <cell r="D115">
            <v>0.8</v>
          </cell>
          <cell r="E115">
            <v>0</v>
          </cell>
          <cell r="F115">
            <v>0</v>
          </cell>
          <cell r="G115">
            <v>0</v>
          </cell>
          <cell r="H115">
            <v>0.8</v>
          </cell>
          <cell r="I115">
            <v>0</v>
          </cell>
        </row>
        <row r="116">
          <cell r="A116">
            <v>7</v>
          </cell>
          <cell r="B116" t="str">
            <v>Telephone Cable</v>
          </cell>
          <cell r="C116">
            <v>0</v>
          </cell>
          <cell r="D116">
            <v>0.25</v>
          </cell>
          <cell r="E116">
            <v>0</v>
          </cell>
          <cell r="F116">
            <v>0</v>
          </cell>
          <cell r="G116">
            <v>0</v>
          </cell>
          <cell r="H116">
            <v>0.25</v>
          </cell>
          <cell r="I116">
            <v>0</v>
          </cell>
        </row>
        <row r="117">
          <cell r="A117">
            <v>8</v>
          </cell>
          <cell r="B117" t="str">
            <v>220kV Wave Trap</v>
          </cell>
          <cell r="C117">
            <v>0</v>
          </cell>
          <cell r="D117">
            <v>1.5</v>
          </cell>
          <cell r="E117">
            <v>0</v>
          </cell>
          <cell r="F117">
            <v>0</v>
          </cell>
          <cell r="G117">
            <v>0</v>
          </cell>
          <cell r="H117">
            <v>1.5</v>
          </cell>
          <cell r="I117">
            <v>0</v>
          </cell>
        </row>
        <row r="118">
          <cell r="A118">
            <v>9</v>
          </cell>
          <cell r="B118" t="str">
            <v>132kV Wave Trap</v>
          </cell>
          <cell r="C118">
            <v>0</v>
          </cell>
          <cell r="D118">
            <v>1</v>
          </cell>
          <cell r="E118">
            <v>0</v>
          </cell>
          <cell r="F118">
            <v>0</v>
          </cell>
          <cell r="G118">
            <v>0</v>
          </cell>
          <cell r="H118">
            <v>1</v>
          </cell>
          <cell r="I118">
            <v>0</v>
          </cell>
        </row>
        <row r="119">
          <cell r="A119">
            <v>10</v>
          </cell>
          <cell r="B119" t="str">
            <v>220kV CVT</v>
          </cell>
          <cell r="C119">
            <v>0</v>
          </cell>
          <cell r="D119">
            <v>2.5</v>
          </cell>
          <cell r="E119">
            <v>0</v>
          </cell>
          <cell r="F119">
            <v>0</v>
          </cell>
          <cell r="G119">
            <v>0</v>
          </cell>
          <cell r="H119">
            <v>2.5</v>
          </cell>
          <cell r="I119">
            <v>0</v>
          </cell>
        </row>
        <row r="120">
          <cell r="A120">
            <v>11</v>
          </cell>
          <cell r="B120" t="str">
            <v>132kV Coupling Capacitors</v>
          </cell>
          <cell r="C120">
            <v>0</v>
          </cell>
          <cell r="D120">
            <v>1</v>
          </cell>
          <cell r="E120">
            <v>0</v>
          </cell>
          <cell r="F120">
            <v>0</v>
          </cell>
          <cell r="G120">
            <v>0</v>
          </cell>
          <cell r="H120">
            <v>1</v>
          </cell>
          <cell r="I120">
            <v>0</v>
          </cell>
        </row>
        <row r="121">
          <cell r="A121">
            <v>11</v>
          </cell>
          <cell r="B121" t="str">
            <v>132kV Coupling Capacitors</v>
          </cell>
          <cell r="C121">
            <v>0</v>
          </cell>
          <cell r="D121">
            <v>1</v>
          </cell>
          <cell r="E121">
            <v>0</v>
          </cell>
          <cell r="F121">
            <v>0</v>
          </cell>
          <cell r="G121">
            <v>0</v>
          </cell>
          <cell r="H121">
            <v>1</v>
          </cell>
          <cell r="I121">
            <v>0</v>
          </cell>
        </row>
        <row r="122">
          <cell r="B122" t="str">
            <v>SUB TOTAL (E)</v>
          </cell>
          <cell r="C122">
            <v>0</v>
          </cell>
          <cell r="D122">
            <v>0</v>
          </cell>
          <cell r="E122">
            <v>0</v>
          </cell>
          <cell r="F122">
            <v>0</v>
          </cell>
          <cell r="G122">
            <v>0</v>
          </cell>
          <cell r="H122">
            <v>0</v>
          </cell>
          <cell r="I122">
            <v>0</v>
          </cell>
        </row>
        <row r="123">
          <cell r="I123">
            <v>0</v>
          </cell>
        </row>
        <row r="124">
          <cell r="A124" t="str">
            <v>(F-I)</v>
          </cell>
          <cell r="B124" t="str">
            <v>220KV Structures</v>
          </cell>
          <cell r="C124" t="str">
            <v>Weight of Steel in MT</v>
          </cell>
        </row>
        <row r="125">
          <cell r="A125" t="str">
            <v>(F-I)</v>
          </cell>
          <cell r="B125" t="str">
            <v>220KV Structures</v>
          </cell>
          <cell r="C125" t="str">
            <v>Weight of Steel in MT</v>
          </cell>
        </row>
        <row r="126">
          <cell r="A126">
            <v>1</v>
          </cell>
          <cell r="B126" t="str">
            <v>Gantry Column(AGT)</v>
          </cell>
          <cell r="C126">
            <v>0</v>
          </cell>
          <cell r="D126">
            <v>3.6</v>
          </cell>
          <cell r="E126">
            <v>0</v>
          </cell>
        </row>
        <row r="127">
          <cell r="A127">
            <v>2</v>
          </cell>
          <cell r="B127" t="str">
            <v>Gantry Column(AAGT)</v>
          </cell>
          <cell r="C127">
            <v>0</v>
          </cell>
          <cell r="D127">
            <v>5.31</v>
          </cell>
          <cell r="E127">
            <v>0</v>
          </cell>
        </row>
        <row r="128">
          <cell r="A128">
            <v>3</v>
          </cell>
          <cell r="B128" t="str">
            <v>Gantry Beam(AGB)</v>
          </cell>
          <cell r="C128">
            <v>0</v>
          </cell>
          <cell r="D128">
            <v>1.23</v>
          </cell>
          <cell r="E128">
            <v>0</v>
          </cell>
        </row>
        <row r="129">
          <cell r="A129">
            <v>4</v>
          </cell>
          <cell r="B129" t="str">
            <v>Main Busbar Structure(ABM)</v>
          </cell>
          <cell r="C129">
            <v>0</v>
          </cell>
          <cell r="D129">
            <v>2.411</v>
          </cell>
          <cell r="E129">
            <v>0</v>
          </cell>
        </row>
        <row r="130">
          <cell r="A130">
            <v>5</v>
          </cell>
          <cell r="B130" t="str">
            <v>Auxiliary Busbar structure(ABA)</v>
          </cell>
          <cell r="C130">
            <v>0</v>
          </cell>
          <cell r="D130">
            <v>2.327</v>
          </cell>
          <cell r="E130">
            <v>0</v>
          </cell>
        </row>
        <row r="131">
          <cell r="A131">
            <v>6</v>
          </cell>
          <cell r="B131" t="str">
            <v>CT structure</v>
          </cell>
          <cell r="C131">
            <v>0</v>
          </cell>
          <cell r="D131">
            <v>0.27</v>
          </cell>
          <cell r="E131">
            <v>0</v>
          </cell>
        </row>
        <row r="132">
          <cell r="A132">
            <v>7</v>
          </cell>
          <cell r="B132" t="str">
            <v>LA structure</v>
          </cell>
          <cell r="C132">
            <v>0</v>
          </cell>
          <cell r="D132">
            <v>0.13</v>
          </cell>
          <cell r="E132">
            <v>0</v>
          </cell>
        </row>
        <row r="133">
          <cell r="A133">
            <v>8</v>
          </cell>
          <cell r="B133" t="str">
            <v>Post/Solid Core structure</v>
          </cell>
          <cell r="C133">
            <v>0</v>
          </cell>
          <cell r="D133">
            <v>0.21</v>
          </cell>
          <cell r="E133">
            <v>0</v>
          </cell>
        </row>
        <row r="134">
          <cell r="A134">
            <v>9</v>
          </cell>
          <cell r="B134" t="str">
            <v>Isolator structure</v>
          </cell>
          <cell r="C134">
            <v>0</v>
          </cell>
          <cell r="D134">
            <v>2.056</v>
          </cell>
          <cell r="E134">
            <v>0</v>
          </cell>
        </row>
        <row r="135">
          <cell r="A135">
            <v>10</v>
          </cell>
          <cell r="B135" t="str">
            <v>PT/CVT structure</v>
          </cell>
          <cell r="C135">
            <v>0</v>
          </cell>
          <cell r="D135">
            <v>0.27</v>
          </cell>
          <cell r="E135">
            <v>0</v>
          </cell>
        </row>
        <row r="136">
          <cell r="A136">
            <v>10</v>
          </cell>
          <cell r="B136" t="str">
            <v>PT/CVT structure</v>
          </cell>
          <cell r="C136">
            <v>0</v>
          </cell>
          <cell r="D136">
            <v>0.27</v>
          </cell>
          <cell r="E136">
            <v>0</v>
          </cell>
        </row>
        <row r="137">
          <cell r="B137" t="str">
            <v>SUB TOTAL (F-I)</v>
          </cell>
          <cell r="C137">
            <v>0</v>
          </cell>
          <cell r="D137">
            <v>0</v>
          </cell>
          <cell r="E137">
            <v>0</v>
          </cell>
        </row>
        <row r="138">
          <cell r="E138">
            <v>0</v>
          </cell>
        </row>
        <row r="139">
          <cell r="A139" t="str">
            <v>(F-II)</v>
          </cell>
          <cell r="B139" t="str">
            <v>132KV STRUCTURE</v>
          </cell>
        </row>
        <row r="140">
          <cell r="A140" t="str">
            <v>(F-II)</v>
          </cell>
          <cell r="B140" t="str">
            <v>132KV STRUCTURE</v>
          </cell>
        </row>
        <row r="141">
          <cell r="A141">
            <v>1</v>
          </cell>
          <cell r="B141" t="str">
            <v>Gantry Column</v>
          </cell>
          <cell r="C141">
            <v>4</v>
          </cell>
          <cell r="D141">
            <v>1.9770000000000001</v>
          </cell>
          <cell r="E141">
            <v>7.9080000000000004</v>
          </cell>
        </row>
        <row r="142">
          <cell r="A142">
            <v>2</v>
          </cell>
          <cell r="B142" t="str">
            <v xml:space="preserve">Gantry Beam    </v>
          </cell>
          <cell r="C142">
            <v>3</v>
          </cell>
          <cell r="D142">
            <v>1.0649999999999999</v>
          </cell>
          <cell r="E142">
            <v>3.1949999999999998</v>
          </cell>
        </row>
        <row r="143">
          <cell r="A143">
            <v>3</v>
          </cell>
          <cell r="B143" t="str">
            <v xml:space="preserve">Main busbar structure    </v>
          </cell>
          <cell r="C143">
            <v>1</v>
          </cell>
          <cell r="D143">
            <v>1.5429999999999999</v>
          </cell>
          <cell r="E143">
            <v>1.5429999999999999</v>
          </cell>
        </row>
        <row r="144">
          <cell r="A144">
            <v>4</v>
          </cell>
          <cell r="B144" t="str">
            <v>Aux. Busbar Structure</v>
          </cell>
          <cell r="C144">
            <v>0</v>
          </cell>
          <cell r="D144">
            <v>0.90500000000000003</v>
          </cell>
          <cell r="E144">
            <v>0</v>
          </cell>
        </row>
        <row r="145">
          <cell r="A145">
            <v>5</v>
          </cell>
          <cell r="B145" t="str">
            <v>CT structure</v>
          </cell>
          <cell r="C145">
            <v>3</v>
          </cell>
          <cell r="D145">
            <v>0.23499999999999999</v>
          </cell>
          <cell r="E145">
            <v>0.70499999999999996</v>
          </cell>
        </row>
        <row r="146">
          <cell r="A146">
            <v>6</v>
          </cell>
          <cell r="B146" t="str">
            <v>LA structure</v>
          </cell>
          <cell r="C146">
            <v>3</v>
          </cell>
          <cell r="D146">
            <v>0.17100000000000001</v>
          </cell>
          <cell r="E146">
            <v>0.51300000000000001</v>
          </cell>
        </row>
        <row r="147">
          <cell r="A147">
            <v>7</v>
          </cell>
          <cell r="B147" t="str">
            <v>Post /Solid Core structure</v>
          </cell>
          <cell r="C147">
            <v>3</v>
          </cell>
          <cell r="D147">
            <v>0.20300000000000001</v>
          </cell>
          <cell r="E147">
            <v>0.60899999999999999</v>
          </cell>
        </row>
        <row r="148">
          <cell r="A148">
            <v>8</v>
          </cell>
          <cell r="B148" t="str">
            <v>Isolator structure</v>
          </cell>
          <cell r="C148">
            <v>3</v>
          </cell>
          <cell r="D148">
            <v>1.4419999999999999</v>
          </cell>
          <cell r="E148">
            <v>4.3259999999999996</v>
          </cell>
        </row>
        <row r="149">
          <cell r="A149">
            <v>9</v>
          </cell>
          <cell r="B149" t="str">
            <v>Coupling capacitor</v>
          </cell>
          <cell r="C149">
            <v>0</v>
          </cell>
          <cell r="D149">
            <v>0.17499999999999999</v>
          </cell>
          <cell r="E149">
            <v>0</v>
          </cell>
        </row>
        <row r="150">
          <cell r="A150">
            <v>10</v>
          </cell>
          <cell r="B150" t="str">
            <v>PT structure</v>
          </cell>
          <cell r="C150">
            <v>0</v>
          </cell>
          <cell r="D150">
            <v>0.22700000000000001</v>
          </cell>
          <cell r="E150">
            <v>0</v>
          </cell>
        </row>
        <row r="151">
          <cell r="A151">
            <v>10</v>
          </cell>
          <cell r="B151" t="str">
            <v>PT structure</v>
          </cell>
          <cell r="C151">
            <v>0</v>
          </cell>
          <cell r="D151">
            <v>0.22700000000000001</v>
          </cell>
          <cell r="E151">
            <v>0</v>
          </cell>
        </row>
        <row r="152">
          <cell r="B152" t="str">
            <v>SUB TOTAL (F-II)</v>
          </cell>
          <cell r="C152">
            <v>0</v>
          </cell>
          <cell r="D152">
            <v>0</v>
          </cell>
          <cell r="E152">
            <v>18.798999999999999</v>
          </cell>
        </row>
        <row r="153">
          <cell r="E153">
            <v>18.798999999999999</v>
          </cell>
        </row>
        <row r="154">
          <cell r="A154" t="str">
            <v>(F-III)</v>
          </cell>
          <cell r="B154" t="str">
            <v>33KV STRUCTURE</v>
          </cell>
        </row>
        <row r="155">
          <cell r="A155" t="str">
            <v>(F-III)</v>
          </cell>
          <cell r="B155" t="str">
            <v>33KV STRUCTURE</v>
          </cell>
        </row>
        <row r="156">
          <cell r="A156">
            <v>1</v>
          </cell>
          <cell r="B156" t="str">
            <v>Gantry Column</v>
          </cell>
          <cell r="C156">
            <v>2</v>
          </cell>
          <cell r="D156">
            <v>0.502</v>
          </cell>
          <cell r="E156">
            <v>1.004</v>
          </cell>
        </row>
        <row r="157">
          <cell r="A157">
            <v>2</v>
          </cell>
          <cell r="B157" t="str">
            <v>Gantry Beam</v>
          </cell>
          <cell r="C157">
            <v>2</v>
          </cell>
          <cell r="D157">
            <v>0.28999999999999998</v>
          </cell>
          <cell r="E157">
            <v>0.57999999999999996</v>
          </cell>
        </row>
        <row r="158">
          <cell r="A158">
            <v>3</v>
          </cell>
          <cell r="B158" t="str">
            <v>Main Busbar Structure</v>
          </cell>
          <cell r="C158">
            <v>1</v>
          </cell>
          <cell r="D158">
            <v>0.86899999999999999</v>
          </cell>
          <cell r="E158">
            <v>0.86899999999999999</v>
          </cell>
        </row>
        <row r="159">
          <cell r="A159">
            <v>4</v>
          </cell>
          <cell r="B159" t="str">
            <v>Aux.Busbar Structure</v>
          </cell>
          <cell r="C159">
            <v>0</v>
          </cell>
          <cell r="D159">
            <v>0.71199999999999997</v>
          </cell>
          <cell r="E159">
            <v>0</v>
          </cell>
        </row>
        <row r="160">
          <cell r="A160">
            <v>5</v>
          </cell>
          <cell r="B160" t="str">
            <v>CT Structure</v>
          </cell>
          <cell r="C160">
            <v>3</v>
          </cell>
          <cell r="D160">
            <v>0.1</v>
          </cell>
          <cell r="E160">
            <v>0.30000000000000004</v>
          </cell>
        </row>
        <row r="161">
          <cell r="A161">
            <v>6</v>
          </cell>
          <cell r="B161" t="str">
            <v>LA structure</v>
          </cell>
          <cell r="C161">
            <v>3</v>
          </cell>
          <cell r="D161">
            <v>0.1</v>
          </cell>
          <cell r="E161">
            <v>0.30000000000000004</v>
          </cell>
        </row>
        <row r="162">
          <cell r="A162">
            <v>7</v>
          </cell>
          <cell r="B162" t="str">
            <v>Isolator structure</v>
          </cell>
          <cell r="C162">
            <v>2</v>
          </cell>
          <cell r="D162">
            <v>0.35799999999999998</v>
          </cell>
          <cell r="E162">
            <v>0.71599999999999997</v>
          </cell>
        </row>
        <row r="163">
          <cell r="A163">
            <v>8</v>
          </cell>
          <cell r="B163" t="str">
            <v>PT structure</v>
          </cell>
          <cell r="C163">
            <v>0</v>
          </cell>
          <cell r="D163">
            <v>0.1</v>
          </cell>
          <cell r="E163">
            <v>0</v>
          </cell>
        </row>
        <row r="164">
          <cell r="A164">
            <v>9</v>
          </cell>
          <cell r="B164" t="str">
            <v>Post Insulator structure</v>
          </cell>
          <cell r="C164">
            <v>0</v>
          </cell>
          <cell r="D164">
            <v>0.1</v>
          </cell>
          <cell r="E164">
            <v>0</v>
          </cell>
        </row>
        <row r="165">
          <cell r="A165">
            <v>9</v>
          </cell>
          <cell r="B165" t="str">
            <v>Post Insulator structure</v>
          </cell>
          <cell r="C165">
            <v>0</v>
          </cell>
          <cell r="D165">
            <v>0.1</v>
          </cell>
          <cell r="E165">
            <v>0</v>
          </cell>
        </row>
        <row r="166">
          <cell r="B166" t="str">
            <v>SUB TOTAL (F-III)</v>
          </cell>
          <cell r="C166">
            <v>0</v>
          </cell>
          <cell r="D166">
            <v>0</v>
          </cell>
          <cell r="E166">
            <v>3.7690000000000001</v>
          </cell>
        </row>
        <row r="167">
          <cell r="G167" t="str">
            <v>LS</v>
          </cell>
        </row>
        <row r="168">
          <cell r="B168" t="str">
            <v>SUB TOTAL F(I)+F(II)+F(III)</v>
          </cell>
          <cell r="C168">
            <v>0</v>
          </cell>
          <cell r="D168">
            <v>0</v>
          </cell>
          <cell r="E168">
            <v>22.567999999999998</v>
          </cell>
        </row>
        <row r="169">
          <cell r="E169">
            <v>22.568000000000001</v>
          </cell>
        </row>
        <row r="170">
          <cell r="B170" t="str">
            <v>TOTAL  COST OF STEEL (F)</v>
          </cell>
          <cell r="C170">
            <v>22.567999999999998</v>
          </cell>
          <cell r="D170">
            <v>0.26096326530612241</v>
          </cell>
          <cell r="E170">
            <v>5.8894189714285696</v>
          </cell>
          <cell r="F170">
            <v>9.0938775510204083E-3</v>
          </cell>
          <cell r="G170">
            <v>0.20523062857142857</v>
          </cell>
          <cell r="H170">
            <v>0.27005714285714283</v>
          </cell>
          <cell r="I170">
            <v>6.0946495999999986</v>
          </cell>
        </row>
        <row r="171">
          <cell r="B171" t="str">
            <v>TOTAL  COST OF STEEL (F)</v>
          </cell>
          <cell r="C171">
            <v>22.568000000000001</v>
          </cell>
          <cell r="D171">
            <v>0.260963</v>
          </cell>
          <cell r="E171">
            <v>5.8894190000000002</v>
          </cell>
          <cell r="F171">
            <v>9.0939999999999997E-3</v>
          </cell>
          <cell r="G171">
            <v>0.205231</v>
          </cell>
          <cell r="H171">
            <v>0.27005699999999999</v>
          </cell>
          <cell r="I171">
            <v>6.0946499999999997</v>
          </cell>
        </row>
        <row r="172">
          <cell r="A172" t="str">
            <v>G</v>
          </cell>
          <cell r="B172" t="str">
            <v>BUSBAR, EARTHING MATERIAL</v>
          </cell>
          <cell r="C172">
            <v>0</v>
          </cell>
          <cell r="D172">
            <v>0</v>
          </cell>
          <cell r="E172">
            <v>0</v>
          </cell>
          <cell r="F172">
            <v>0</v>
          </cell>
          <cell r="G172">
            <v>0</v>
          </cell>
          <cell r="H172">
            <v>0</v>
          </cell>
          <cell r="I172" t="str">
            <v xml:space="preserve"> </v>
          </cell>
        </row>
        <row r="173">
          <cell r="I173">
            <v>0</v>
          </cell>
        </row>
        <row r="174">
          <cell r="A174">
            <v>1</v>
          </cell>
          <cell r="B174" t="str">
            <v>Zebra conductor  (in Kms)</v>
          </cell>
          <cell r="C174">
            <v>1</v>
          </cell>
          <cell r="D174">
            <v>1.0555000000000001</v>
          </cell>
          <cell r="E174">
            <v>1.0555000000000001</v>
          </cell>
          <cell r="F174">
            <v>5.5100000000000003E-2</v>
          </cell>
          <cell r="G174">
            <v>5.5100000000000003E-2</v>
          </cell>
          <cell r="H174">
            <v>1.1106</v>
          </cell>
          <cell r="I174">
            <v>1.1106</v>
          </cell>
        </row>
        <row r="175">
          <cell r="A175">
            <v>2</v>
          </cell>
          <cell r="B175" t="str">
            <v>M.S.Flat for earthing/earthing rods (in MT)</v>
          </cell>
          <cell r="C175">
            <v>2</v>
          </cell>
          <cell r="D175">
            <v>0.21840000000000001</v>
          </cell>
          <cell r="E175">
            <v>0.43680000000000002</v>
          </cell>
          <cell r="F175">
            <v>8.2000000000000007E-3</v>
          </cell>
          <cell r="G175">
            <v>1.6400000000000001E-2</v>
          </cell>
          <cell r="H175">
            <v>0.22660000000000002</v>
          </cell>
          <cell r="I175">
            <v>0.45320000000000005</v>
          </cell>
        </row>
        <row r="176">
          <cell r="A176">
            <v>3</v>
          </cell>
          <cell r="B176" t="str">
            <v>Clamps &amp; Connectors</v>
          </cell>
          <cell r="C176">
            <v>40</v>
          </cell>
          <cell r="D176">
            <v>6.3E-3</v>
          </cell>
          <cell r="E176">
            <v>0.252</v>
          </cell>
          <cell r="F176">
            <v>1.6000000000000001E-3</v>
          </cell>
          <cell r="G176">
            <v>6.4000000000000001E-2</v>
          </cell>
          <cell r="H176">
            <v>7.9000000000000008E-3</v>
          </cell>
          <cell r="I176">
            <v>0.316</v>
          </cell>
        </row>
        <row r="177">
          <cell r="A177">
            <v>4</v>
          </cell>
          <cell r="B177" t="str">
            <v>Power &amp; Control Cable</v>
          </cell>
          <cell r="C177">
            <v>2.5</v>
          </cell>
          <cell r="D177">
            <v>0.38729999999999998</v>
          </cell>
          <cell r="E177">
            <v>0.96824999999999994</v>
          </cell>
          <cell r="F177">
            <v>1.0800000000000001E-2</v>
          </cell>
          <cell r="G177">
            <v>2.7000000000000003E-2</v>
          </cell>
          <cell r="H177">
            <v>0.39809999999999995</v>
          </cell>
          <cell r="I177">
            <v>0.99524999999999997</v>
          </cell>
        </row>
        <row r="178">
          <cell r="A178">
            <v>5</v>
          </cell>
          <cell r="B178" t="str">
            <v>Screening conductor</v>
          </cell>
          <cell r="C178" t="str">
            <v>LS</v>
          </cell>
          <cell r="D178">
            <v>0.2</v>
          </cell>
          <cell r="E178">
            <v>0.2</v>
          </cell>
          <cell r="F178">
            <v>0</v>
          </cell>
          <cell r="G178">
            <v>0</v>
          </cell>
          <cell r="H178" t="str">
            <v>LS</v>
          </cell>
          <cell r="I178">
            <v>0.2</v>
          </cell>
        </row>
        <row r="179">
          <cell r="A179">
            <v>6</v>
          </cell>
          <cell r="B179" t="str">
            <v>Junction Box etc. &amp; Misc.expendtirues</v>
          </cell>
          <cell r="C179" t="str">
            <v>LS</v>
          </cell>
          <cell r="D179">
            <v>0.5</v>
          </cell>
          <cell r="E179">
            <v>0.5</v>
          </cell>
          <cell r="F179">
            <v>0</v>
          </cell>
          <cell r="G179">
            <v>0</v>
          </cell>
          <cell r="H179" t="str">
            <v>LS</v>
          </cell>
          <cell r="I179">
            <v>0.5</v>
          </cell>
        </row>
        <row r="180">
          <cell r="A180">
            <v>7</v>
          </cell>
          <cell r="B180" t="str">
            <v>Fire fighting equipments</v>
          </cell>
          <cell r="C180" t="str">
            <v>LS</v>
          </cell>
          <cell r="D180">
            <v>0</v>
          </cell>
          <cell r="E180">
            <v>0</v>
          </cell>
          <cell r="F180">
            <v>0</v>
          </cell>
          <cell r="G180">
            <v>0</v>
          </cell>
          <cell r="H180" t="str">
            <v>LS</v>
          </cell>
          <cell r="I180">
            <v>0</v>
          </cell>
        </row>
        <row r="181">
          <cell r="A181">
            <v>8</v>
          </cell>
          <cell r="B181" t="str">
            <v>Aluminium/Red Oxide Paint and Nut,Bolt,Washers &amp; other misc. material</v>
          </cell>
          <cell r="C181" t="str">
            <v>LS</v>
          </cell>
          <cell r="D181">
            <v>0</v>
          </cell>
          <cell r="E181">
            <v>0</v>
          </cell>
          <cell r="F181">
            <v>0.1</v>
          </cell>
          <cell r="G181">
            <v>0.1</v>
          </cell>
          <cell r="H181" t="str">
            <v>LS</v>
          </cell>
          <cell r="I181">
            <v>0.1</v>
          </cell>
        </row>
        <row r="182">
          <cell r="E182">
            <v>0</v>
          </cell>
          <cell r="F182">
            <v>0.1</v>
          </cell>
          <cell r="G182">
            <v>0.1</v>
          </cell>
          <cell r="H182" t="str">
            <v>LS</v>
          </cell>
          <cell r="I182">
            <v>0.1</v>
          </cell>
        </row>
        <row r="183">
          <cell r="B183" t="str">
            <v>SUB TOTAL (G)</v>
          </cell>
          <cell r="C183">
            <v>0</v>
          </cell>
          <cell r="D183">
            <v>0</v>
          </cell>
          <cell r="E183">
            <v>3.4125500000000004</v>
          </cell>
          <cell r="F183">
            <v>0</v>
          </cell>
          <cell r="G183">
            <v>0.26250000000000001</v>
          </cell>
          <cell r="H183">
            <v>0</v>
          </cell>
          <cell r="I183">
            <v>3.6750500000000001</v>
          </cell>
        </row>
        <row r="184">
          <cell r="I184">
            <v>3.6750500000000001</v>
          </cell>
        </row>
        <row r="185">
          <cell r="A185" t="str">
            <v>H</v>
          </cell>
          <cell r="B185" t="str">
            <v>AC/DC SUPPLY</v>
          </cell>
          <cell r="C185">
            <v>0</v>
          </cell>
          <cell r="D185">
            <v>0</v>
          </cell>
          <cell r="E185">
            <v>0</v>
          </cell>
          <cell r="F185">
            <v>0</v>
          </cell>
          <cell r="G185">
            <v>0</v>
          </cell>
          <cell r="H185">
            <v>0</v>
          </cell>
          <cell r="I185" t="str">
            <v xml:space="preserve"> </v>
          </cell>
        </row>
        <row r="186">
          <cell r="I186">
            <v>0</v>
          </cell>
        </row>
        <row r="187">
          <cell r="A187">
            <v>1</v>
          </cell>
          <cell r="B187" t="str">
            <v>Station Transformer,200KVA,33/0.4KV</v>
          </cell>
          <cell r="C187">
            <v>0</v>
          </cell>
          <cell r="D187">
            <v>2.2999999999999998</v>
          </cell>
          <cell r="E187">
            <v>0</v>
          </cell>
          <cell r="F187">
            <v>0.50600000000000001</v>
          </cell>
          <cell r="G187">
            <v>0</v>
          </cell>
          <cell r="H187">
            <v>2.806</v>
          </cell>
          <cell r="I187">
            <v>0</v>
          </cell>
        </row>
        <row r="188">
          <cell r="A188">
            <v>2</v>
          </cell>
          <cell r="B188" t="str">
            <v>110Volt 300Ah battery</v>
          </cell>
          <cell r="C188">
            <v>0</v>
          </cell>
          <cell r="D188">
            <v>0.65</v>
          </cell>
          <cell r="E188">
            <v>0</v>
          </cell>
          <cell r="F188">
            <v>0.14299999999999999</v>
          </cell>
          <cell r="G188">
            <v>0</v>
          </cell>
          <cell r="H188">
            <v>0.79300000000000004</v>
          </cell>
          <cell r="I188">
            <v>0</v>
          </cell>
        </row>
        <row r="189">
          <cell r="A189">
            <v>3</v>
          </cell>
          <cell r="B189" t="str">
            <v>110Volt 300Ah Battery charger</v>
          </cell>
          <cell r="C189">
            <v>0</v>
          </cell>
          <cell r="D189">
            <v>1.2</v>
          </cell>
          <cell r="E189">
            <v>0</v>
          </cell>
          <cell r="F189">
            <v>0.26400000000000001</v>
          </cell>
          <cell r="G189">
            <v>0</v>
          </cell>
          <cell r="H189">
            <v>1.464</v>
          </cell>
          <cell r="I189">
            <v>0</v>
          </cell>
        </row>
        <row r="190">
          <cell r="A190">
            <v>4</v>
          </cell>
          <cell r="B190" t="str">
            <v>48Volt 300Ah Battery</v>
          </cell>
          <cell r="C190">
            <v>0</v>
          </cell>
          <cell r="D190">
            <v>0.65</v>
          </cell>
          <cell r="E190">
            <v>0</v>
          </cell>
          <cell r="F190">
            <v>0.14299999999999999</v>
          </cell>
          <cell r="G190">
            <v>0</v>
          </cell>
          <cell r="H190">
            <v>0.79300000000000004</v>
          </cell>
          <cell r="I190">
            <v>0</v>
          </cell>
        </row>
        <row r="191">
          <cell r="A191">
            <v>5</v>
          </cell>
          <cell r="B191" t="str">
            <v>48Volt 300Ah Battery charger</v>
          </cell>
          <cell r="C191">
            <v>0</v>
          </cell>
          <cell r="D191">
            <v>1.2</v>
          </cell>
          <cell r="E191">
            <v>0</v>
          </cell>
          <cell r="F191">
            <v>0.26400000000000001</v>
          </cell>
          <cell r="G191">
            <v>0</v>
          </cell>
          <cell r="H191">
            <v>1.464</v>
          </cell>
          <cell r="I191">
            <v>0</v>
          </cell>
        </row>
        <row r="192">
          <cell r="A192">
            <v>6</v>
          </cell>
          <cell r="B192" t="str">
            <v>AC/DC Distribution Boxes 415Volt</v>
          </cell>
          <cell r="C192">
            <v>0</v>
          </cell>
          <cell r="D192">
            <v>0</v>
          </cell>
          <cell r="E192">
            <v>0</v>
          </cell>
          <cell r="F192">
            <v>1.25</v>
          </cell>
          <cell r="G192">
            <v>0</v>
          </cell>
          <cell r="H192">
            <v>1.25</v>
          </cell>
          <cell r="I192">
            <v>0</v>
          </cell>
        </row>
        <row r="193">
          <cell r="A193">
            <v>7</v>
          </cell>
          <cell r="B193" t="str">
            <v>Arrangement of Lighting in S/s</v>
          </cell>
          <cell r="C193" t="str">
            <v>LS</v>
          </cell>
          <cell r="D193">
            <v>0</v>
          </cell>
          <cell r="E193">
            <v>0</v>
          </cell>
          <cell r="F193">
            <v>0</v>
          </cell>
          <cell r="G193">
            <v>0</v>
          </cell>
          <cell r="H193" t="str">
            <v>LS</v>
          </cell>
          <cell r="I193">
            <v>0</v>
          </cell>
        </row>
        <row r="194">
          <cell r="E194">
            <v>0</v>
          </cell>
          <cell r="F194">
            <v>0</v>
          </cell>
          <cell r="G194">
            <v>0</v>
          </cell>
          <cell r="H194" t="str">
            <v>LS</v>
          </cell>
          <cell r="I194">
            <v>0</v>
          </cell>
        </row>
        <row r="195">
          <cell r="B195" t="str">
            <v>SUB TOTAL (H)</v>
          </cell>
          <cell r="C195">
            <v>0</v>
          </cell>
          <cell r="D195">
            <v>0</v>
          </cell>
          <cell r="E195">
            <v>0</v>
          </cell>
          <cell r="F195">
            <v>0</v>
          </cell>
          <cell r="G195">
            <v>0</v>
          </cell>
          <cell r="H195">
            <v>0</v>
          </cell>
          <cell r="I195">
            <v>0</v>
          </cell>
        </row>
        <row r="196">
          <cell r="I196">
            <v>0</v>
          </cell>
        </row>
        <row r="197">
          <cell r="A197" t="str">
            <v>I</v>
          </cell>
          <cell r="B197" t="str">
            <v>CIVIL WORKS</v>
          </cell>
          <cell r="C197">
            <v>0</v>
          </cell>
          <cell r="D197">
            <v>0</v>
          </cell>
          <cell r="E197">
            <v>0</v>
          </cell>
          <cell r="F197">
            <v>0</v>
          </cell>
          <cell r="G197">
            <v>0</v>
          </cell>
          <cell r="H197">
            <v>0</v>
          </cell>
          <cell r="I197" t="str">
            <v xml:space="preserve"> </v>
          </cell>
        </row>
        <row r="198">
          <cell r="A198" t="str">
            <v xml:space="preserve"> </v>
          </cell>
          <cell r="B198" t="str">
            <v xml:space="preserve">Foundation work of </v>
          </cell>
          <cell r="C198">
            <v>0</v>
          </cell>
          <cell r="D198">
            <v>0</v>
          </cell>
          <cell r="E198">
            <v>0</v>
          </cell>
          <cell r="F198">
            <v>0</v>
          </cell>
          <cell r="G198">
            <v>0</v>
          </cell>
          <cell r="H198">
            <v>0</v>
          </cell>
          <cell r="I198" t="str">
            <v xml:space="preserve"> </v>
          </cell>
        </row>
        <row r="199">
          <cell r="I199">
            <v>0</v>
          </cell>
        </row>
        <row r="200">
          <cell r="A200">
            <v>1</v>
          </cell>
          <cell r="B200" t="str">
            <v>Gantry Column(AGT)</v>
          </cell>
          <cell r="C200">
            <v>0</v>
          </cell>
          <cell r="D200">
            <v>0</v>
          </cell>
          <cell r="E200">
            <v>0</v>
          </cell>
          <cell r="F200">
            <v>0.28000000000000003</v>
          </cell>
          <cell r="G200">
            <v>0</v>
          </cell>
          <cell r="H200">
            <v>0.28000000000000003</v>
          </cell>
          <cell r="I200">
            <v>0</v>
          </cell>
        </row>
        <row r="201">
          <cell r="A201">
            <v>2</v>
          </cell>
          <cell r="B201" t="str">
            <v>Gantry Column(AAGT)</v>
          </cell>
          <cell r="C201">
            <v>0</v>
          </cell>
          <cell r="D201">
            <v>0</v>
          </cell>
          <cell r="E201">
            <v>0</v>
          </cell>
          <cell r="F201">
            <v>0.28000000000000003</v>
          </cell>
          <cell r="G201">
            <v>0</v>
          </cell>
          <cell r="H201">
            <v>0.28000000000000003</v>
          </cell>
          <cell r="I201">
            <v>0</v>
          </cell>
        </row>
        <row r="202">
          <cell r="A202">
            <v>3</v>
          </cell>
          <cell r="B202" t="str">
            <v>220KV Main Busbar</v>
          </cell>
          <cell r="C202">
            <v>0</v>
          </cell>
          <cell r="D202">
            <v>0</v>
          </cell>
          <cell r="E202">
            <v>0</v>
          </cell>
          <cell r="F202">
            <v>0.191</v>
          </cell>
          <cell r="G202">
            <v>0</v>
          </cell>
          <cell r="H202">
            <v>0.191</v>
          </cell>
          <cell r="I202">
            <v>0</v>
          </cell>
        </row>
        <row r="203">
          <cell r="A203">
            <v>4</v>
          </cell>
          <cell r="B203" t="str">
            <v xml:space="preserve">220KV Aux.Busbar </v>
          </cell>
          <cell r="C203">
            <v>0</v>
          </cell>
          <cell r="D203">
            <v>0</v>
          </cell>
          <cell r="E203">
            <v>0</v>
          </cell>
          <cell r="F203">
            <v>0.21</v>
          </cell>
          <cell r="G203">
            <v>0</v>
          </cell>
          <cell r="H203">
            <v>0.21</v>
          </cell>
          <cell r="I203">
            <v>0</v>
          </cell>
        </row>
        <row r="204">
          <cell r="A204">
            <v>5</v>
          </cell>
          <cell r="B204" t="str">
            <v>220KV Isolator</v>
          </cell>
          <cell r="C204">
            <v>0</v>
          </cell>
          <cell r="D204">
            <v>0</v>
          </cell>
          <cell r="E204">
            <v>0</v>
          </cell>
          <cell r="F204">
            <v>0.16500000000000001</v>
          </cell>
          <cell r="G204">
            <v>0</v>
          </cell>
          <cell r="H204">
            <v>0.16500000000000001</v>
          </cell>
          <cell r="I204">
            <v>0</v>
          </cell>
        </row>
        <row r="205">
          <cell r="A205">
            <v>6</v>
          </cell>
          <cell r="B205" t="str">
            <v>220KV CB</v>
          </cell>
          <cell r="C205">
            <v>0</v>
          </cell>
          <cell r="D205">
            <v>0</v>
          </cell>
          <cell r="E205">
            <v>0</v>
          </cell>
          <cell r="F205">
            <v>0.311</v>
          </cell>
          <cell r="G205">
            <v>0</v>
          </cell>
          <cell r="H205">
            <v>0.311</v>
          </cell>
          <cell r="I205">
            <v>0</v>
          </cell>
        </row>
        <row r="206">
          <cell r="A206">
            <v>7</v>
          </cell>
          <cell r="B206" t="str">
            <v>220KV CT</v>
          </cell>
          <cell r="C206">
            <v>0</v>
          </cell>
          <cell r="D206">
            <v>0</v>
          </cell>
          <cell r="E206">
            <v>0</v>
          </cell>
          <cell r="F206">
            <v>0.05</v>
          </cell>
          <cell r="G206">
            <v>0</v>
          </cell>
          <cell r="H206">
            <v>0.05</v>
          </cell>
          <cell r="I206">
            <v>0</v>
          </cell>
        </row>
        <row r="207">
          <cell r="A207">
            <v>8</v>
          </cell>
          <cell r="B207" t="str">
            <v>220KV CVT/PT</v>
          </cell>
          <cell r="C207">
            <v>0</v>
          </cell>
          <cell r="D207">
            <v>0</v>
          </cell>
          <cell r="E207">
            <v>0</v>
          </cell>
          <cell r="F207">
            <v>0.05</v>
          </cell>
          <cell r="G207">
            <v>0</v>
          </cell>
          <cell r="H207">
            <v>0.05</v>
          </cell>
          <cell r="I207">
            <v>0</v>
          </cell>
        </row>
        <row r="208">
          <cell r="A208">
            <v>9</v>
          </cell>
          <cell r="B208" t="str">
            <v>220KV LA</v>
          </cell>
          <cell r="C208">
            <v>0</v>
          </cell>
          <cell r="D208">
            <v>0</v>
          </cell>
          <cell r="E208">
            <v>0</v>
          </cell>
          <cell r="F208">
            <v>2.5000000000000001E-2</v>
          </cell>
          <cell r="G208">
            <v>0</v>
          </cell>
          <cell r="H208">
            <v>2.5000000000000001E-2</v>
          </cell>
          <cell r="I208">
            <v>0</v>
          </cell>
        </row>
        <row r="209">
          <cell r="A209">
            <v>10</v>
          </cell>
          <cell r="B209" t="str">
            <v>220KV Post/Solid Core Insulators</v>
          </cell>
          <cell r="C209">
            <v>0</v>
          </cell>
          <cell r="D209">
            <v>0</v>
          </cell>
          <cell r="E209">
            <v>0</v>
          </cell>
          <cell r="F209">
            <v>0.06</v>
          </cell>
          <cell r="G209">
            <v>0</v>
          </cell>
          <cell r="H209">
            <v>0.06</v>
          </cell>
          <cell r="I209">
            <v>0</v>
          </cell>
        </row>
        <row r="210">
          <cell r="A210">
            <v>11</v>
          </cell>
          <cell r="B210" t="str">
            <v>160MVA transformer</v>
          </cell>
          <cell r="C210">
            <v>0</v>
          </cell>
          <cell r="D210">
            <v>0</v>
          </cell>
          <cell r="E210">
            <v>0</v>
          </cell>
          <cell r="F210">
            <v>0.54</v>
          </cell>
          <cell r="G210">
            <v>0</v>
          </cell>
          <cell r="H210">
            <v>0.54</v>
          </cell>
          <cell r="I210">
            <v>0</v>
          </cell>
        </row>
        <row r="211">
          <cell r="A211">
            <v>12</v>
          </cell>
          <cell r="B211" t="str">
            <v>40MVA transformer</v>
          </cell>
          <cell r="C211">
            <v>1</v>
          </cell>
          <cell r="D211">
            <v>0</v>
          </cell>
          <cell r="E211">
            <v>0</v>
          </cell>
          <cell r="F211">
            <v>0.53</v>
          </cell>
          <cell r="G211">
            <v>0.53</v>
          </cell>
          <cell r="H211">
            <v>0.53</v>
          </cell>
          <cell r="I211">
            <v>0.53</v>
          </cell>
        </row>
        <row r="212">
          <cell r="A212">
            <v>13</v>
          </cell>
          <cell r="B212" t="str">
            <v>132KV Gantry</v>
          </cell>
          <cell r="C212">
            <v>4</v>
          </cell>
          <cell r="D212">
            <v>0</v>
          </cell>
          <cell r="E212">
            <v>0</v>
          </cell>
          <cell r="F212">
            <v>0.3</v>
          </cell>
          <cell r="G212">
            <v>1.2</v>
          </cell>
          <cell r="H212">
            <v>0.3</v>
          </cell>
          <cell r="I212">
            <v>1.2</v>
          </cell>
        </row>
        <row r="213">
          <cell r="A213">
            <v>14</v>
          </cell>
          <cell r="B213" t="str">
            <v xml:space="preserve">132KV main busbar foundation </v>
          </cell>
          <cell r="C213">
            <v>1</v>
          </cell>
          <cell r="D213">
            <v>0</v>
          </cell>
          <cell r="E213">
            <v>0</v>
          </cell>
          <cell r="F213">
            <v>0.16500000000000001</v>
          </cell>
          <cell r="G213">
            <v>0.16500000000000001</v>
          </cell>
          <cell r="H213">
            <v>0.16500000000000001</v>
          </cell>
          <cell r="I213">
            <v>0.16500000000000001</v>
          </cell>
        </row>
        <row r="214">
          <cell r="A214">
            <v>15</v>
          </cell>
          <cell r="B214" t="str">
            <v>132KV aux.busbar foundation</v>
          </cell>
          <cell r="C214">
            <v>0</v>
          </cell>
          <cell r="D214">
            <v>0</v>
          </cell>
          <cell r="E214">
            <v>0</v>
          </cell>
          <cell r="F214">
            <v>0.121</v>
          </cell>
          <cell r="G214">
            <v>0</v>
          </cell>
          <cell r="H214">
            <v>0.121</v>
          </cell>
          <cell r="I214">
            <v>0</v>
          </cell>
        </row>
        <row r="215">
          <cell r="A215">
            <v>16</v>
          </cell>
          <cell r="B215" t="str">
            <v>132KV Isolator</v>
          </cell>
          <cell r="C215">
            <v>3</v>
          </cell>
          <cell r="D215">
            <v>0</v>
          </cell>
          <cell r="E215">
            <v>0</v>
          </cell>
          <cell r="F215">
            <v>6.7000000000000004E-2</v>
          </cell>
          <cell r="G215">
            <v>0.20100000000000001</v>
          </cell>
          <cell r="H215">
            <v>6.7000000000000004E-2</v>
          </cell>
          <cell r="I215">
            <v>0.20100000000000001</v>
          </cell>
        </row>
        <row r="216">
          <cell r="A216">
            <v>17</v>
          </cell>
          <cell r="B216" t="str">
            <v>132kv Solid Core Insulator</v>
          </cell>
          <cell r="C216">
            <v>3</v>
          </cell>
          <cell r="D216">
            <v>0</v>
          </cell>
          <cell r="E216">
            <v>0</v>
          </cell>
          <cell r="F216">
            <v>1.0999999999999999E-2</v>
          </cell>
          <cell r="G216">
            <v>3.3000000000000002E-2</v>
          </cell>
          <cell r="H216">
            <v>1.0999999999999999E-2</v>
          </cell>
          <cell r="I216">
            <v>3.3000000000000002E-2</v>
          </cell>
        </row>
        <row r="217">
          <cell r="A217">
            <v>18</v>
          </cell>
          <cell r="B217" t="str">
            <v>132KV CB</v>
          </cell>
          <cell r="C217">
            <v>1</v>
          </cell>
          <cell r="D217">
            <v>0</v>
          </cell>
          <cell r="E217">
            <v>0</v>
          </cell>
          <cell r="F217">
            <v>0.30499999999999999</v>
          </cell>
          <cell r="G217">
            <v>0.30499999999999999</v>
          </cell>
          <cell r="H217">
            <v>0.30499999999999999</v>
          </cell>
          <cell r="I217">
            <v>0.30499999999999999</v>
          </cell>
        </row>
        <row r="218">
          <cell r="A218">
            <v>19</v>
          </cell>
          <cell r="B218" t="str">
            <v>132KV CT</v>
          </cell>
          <cell r="C218">
            <v>3</v>
          </cell>
          <cell r="D218">
            <v>0</v>
          </cell>
          <cell r="E218">
            <v>0</v>
          </cell>
          <cell r="F218">
            <v>1.0999999999999999E-2</v>
          </cell>
          <cell r="G218">
            <v>3.3000000000000002E-2</v>
          </cell>
          <cell r="H218">
            <v>1.0999999999999999E-2</v>
          </cell>
          <cell r="I218">
            <v>3.3000000000000002E-2</v>
          </cell>
        </row>
        <row r="219">
          <cell r="A219">
            <v>20</v>
          </cell>
          <cell r="B219" t="str">
            <v>132KV LA</v>
          </cell>
          <cell r="C219">
            <v>3</v>
          </cell>
          <cell r="D219">
            <v>0</v>
          </cell>
          <cell r="E219">
            <v>0</v>
          </cell>
          <cell r="F219">
            <v>2.1000000000000001E-2</v>
          </cell>
          <cell r="G219">
            <v>6.3E-2</v>
          </cell>
          <cell r="H219">
            <v>2.1000000000000001E-2</v>
          </cell>
          <cell r="I219">
            <v>6.3E-2</v>
          </cell>
        </row>
        <row r="220">
          <cell r="A220">
            <v>21</v>
          </cell>
          <cell r="B220" t="str">
            <v>132KV PT</v>
          </cell>
          <cell r="C220">
            <v>0</v>
          </cell>
          <cell r="D220">
            <v>0</v>
          </cell>
          <cell r="E220">
            <v>0</v>
          </cell>
          <cell r="F220">
            <v>0.03</v>
          </cell>
          <cell r="G220">
            <v>0</v>
          </cell>
          <cell r="H220">
            <v>0.03</v>
          </cell>
          <cell r="I220">
            <v>0</v>
          </cell>
        </row>
        <row r="221">
          <cell r="A221">
            <v>22</v>
          </cell>
          <cell r="B221" t="str">
            <v>132KV CC</v>
          </cell>
          <cell r="C221">
            <v>0</v>
          </cell>
          <cell r="D221">
            <v>0</v>
          </cell>
          <cell r="E221">
            <v>0</v>
          </cell>
          <cell r="F221">
            <v>2.1000000000000001E-2</v>
          </cell>
          <cell r="G221">
            <v>0</v>
          </cell>
          <cell r="H221">
            <v>2.1000000000000001E-2</v>
          </cell>
          <cell r="I221">
            <v>0</v>
          </cell>
        </row>
        <row r="222">
          <cell r="A222">
            <v>23</v>
          </cell>
          <cell r="B222" t="str">
            <v xml:space="preserve">33KV Gantry </v>
          </cell>
          <cell r="C222">
            <v>2</v>
          </cell>
          <cell r="D222">
            <v>0</v>
          </cell>
          <cell r="E222">
            <v>0</v>
          </cell>
          <cell r="F222">
            <v>0.12</v>
          </cell>
          <cell r="G222">
            <v>0.24</v>
          </cell>
          <cell r="H222">
            <v>0.12</v>
          </cell>
          <cell r="I222">
            <v>0.24</v>
          </cell>
        </row>
        <row r="223">
          <cell r="A223">
            <v>24</v>
          </cell>
          <cell r="B223" t="str">
            <v>33KV main/aux. Busbar</v>
          </cell>
          <cell r="C223">
            <v>1</v>
          </cell>
          <cell r="D223">
            <v>0</v>
          </cell>
          <cell r="E223">
            <v>0</v>
          </cell>
          <cell r="F223">
            <v>0.34</v>
          </cell>
          <cell r="G223">
            <v>0.34</v>
          </cell>
          <cell r="H223">
            <v>0.34</v>
          </cell>
          <cell r="I223">
            <v>0.34</v>
          </cell>
        </row>
        <row r="224">
          <cell r="A224">
            <v>25</v>
          </cell>
          <cell r="B224" t="str">
            <v>33KV CB</v>
          </cell>
          <cell r="C224">
            <v>1</v>
          </cell>
          <cell r="D224">
            <v>0</v>
          </cell>
          <cell r="E224">
            <v>0</v>
          </cell>
          <cell r="F224">
            <v>5.5E-2</v>
          </cell>
          <cell r="G224">
            <v>5.5E-2</v>
          </cell>
          <cell r="H224">
            <v>5.5E-2</v>
          </cell>
          <cell r="I224">
            <v>5.5E-2</v>
          </cell>
        </row>
        <row r="225">
          <cell r="A225">
            <v>26</v>
          </cell>
          <cell r="B225" t="str">
            <v>33KV CT/PT/LA/PI</v>
          </cell>
          <cell r="C225">
            <v>6</v>
          </cell>
          <cell r="D225">
            <v>0</v>
          </cell>
          <cell r="E225">
            <v>0</v>
          </cell>
          <cell r="F225">
            <v>1.4999999999999999E-2</v>
          </cell>
          <cell r="G225">
            <v>0.09</v>
          </cell>
          <cell r="H225">
            <v>1.4999999999999999E-2</v>
          </cell>
          <cell r="I225">
            <v>0.09</v>
          </cell>
        </row>
        <row r="226">
          <cell r="A226">
            <v>27</v>
          </cell>
          <cell r="B226" t="str">
            <v>33KV Isolator</v>
          </cell>
          <cell r="C226">
            <v>2</v>
          </cell>
          <cell r="D226">
            <v>0</v>
          </cell>
          <cell r="E226">
            <v>0</v>
          </cell>
          <cell r="F226">
            <v>5.0999999999999997E-2</v>
          </cell>
          <cell r="G226">
            <v>0.10199999999999999</v>
          </cell>
          <cell r="H226">
            <v>5.0999999999999997E-2</v>
          </cell>
          <cell r="I226">
            <v>0.10199999999999999</v>
          </cell>
        </row>
        <row r="227">
          <cell r="A227">
            <v>28</v>
          </cell>
          <cell r="B227" t="str">
            <v>Control room type-V</v>
          </cell>
          <cell r="C227">
            <v>0</v>
          </cell>
          <cell r="D227">
            <v>0</v>
          </cell>
          <cell r="E227">
            <v>0</v>
          </cell>
          <cell r="F227">
            <v>15</v>
          </cell>
          <cell r="G227">
            <v>0</v>
          </cell>
          <cell r="H227">
            <v>15</v>
          </cell>
          <cell r="I227">
            <v>0</v>
          </cell>
        </row>
        <row r="228">
          <cell r="A228">
            <v>29</v>
          </cell>
          <cell r="B228" t="str">
            <v>Yard levelling,metalling &amp; misc. civil work</v>
          </cell>
          <cell r="C228" t="str">
            <v>LS</v>
          </cell>
          <cell r="D228">
            <v>0</v>
          </cell>
          <cell r="E228">
            <v>0</v>
          </cell>
          <cell r="F228">
            <v>0.5</v>
          </cell>
          <cell r="G228">
            <v>0.5</v>
          </cell>
          <cell r="H228" t="str">
            <v>LS</v>
          </cell>
          <cell r="I228">
            <v>0.5</v>
          </cell>
        </row>
        <row r="229">
          <cell r="A229">
            <v>30</v>
          </cell>
          <cell r="B229" t="str">
            <v>Water supply arrangement including overhead tank etc.</v>
          </cell>
          <cell r="C229" t="str">
            <v>LS</v>
          </cell>
          <cell r="D229">
            <v>0</v>
          </cell>
          <cell r="E229">
            <v>0</v>
          </cell>
          <cell r="F229">
            <v>0</v>
          </cell>
          <cell r="G229">
            <v>0</v>
          </cell>
          <cell r="H229" t="str">
            <v>LS</v>
          </cell>
          <cell r="I229">
            <v>0</v>
          </cell>
        </row>
        <row r="230">
          <cell r="A230">
            <v>31</v>
          </cell>
          <cell r="B230" t="str">
            <v>Earth pits</v>
          </cell>
          <cell r="C230" t="str">
            <v>LS</v>
          </cell>
          <cell r="D230">
            <v>0</v>
          </cell>
          <cell r="E230">
            <v>0</v>
          </cell>
          <cell r="F230">
            <v>0.2</v>
          </cell>
          <cell r="G230">
            <v>0.2</v>
          </cell>
          <cell r="H230" t="str">
            <v>LS</v>
          </cell>
          <cell r="I230">
            <v>0.2</v>
          </cell>
        </row>
        <row r="231">
          <cell r="A231">
            <v>32</v>
          </cell>
          <cell r="B231" t="str">
            <v>Four bay constn.shed</v>
          </cell>
          <cell r="C231">
            <v>0</v>
          </cell>
          <cell r="D231">
            <v>0</v>
          </cell>
          <cell r="E231">
            <v>0</v>
          </cell>
          <cell r="F231">
            <v>4.37</v>
          </cell>
          <cell r="G231">
            <v>0</v>
          </cell>
          <cell r="H231">
            <v>4.37</v>
          </cell>
          <cell r="I231">
            <v>0</v>
          </cell>
        </row>
        <row r="232">
          <cell r="A232">
            <v>33</v>
          </cell>
          <cell r="B232" t="str">
            <v>Cable Trenches</v>
          </cell>
          <cell r="C232" t="str">
            <v>LS</v>
          </cell>
          <cell r="D232">
            <v>0</v>
          </cell>
          <cell r="E232">
            <v>0</v>
          </cell>
          <cell r="F232">
            <v>1.5</v>
          </cell>
          <cell r="G232">
            <v>1.5</v>
          </cell>
          <cell r="H232" t="str">
            <v>LS</v>
          </cell>
          <cell r="I232">
            <v>1.5</v>
          </cell>
        </row>
        <row r="233">
          <cell r="A233">
            <v>34</v>
          </cell>
          <cell r="B233" t="str">
            <v>Internal Colony Road</v>
          </cell>
          <cell r="C233" t="str">
            <v>LS</v>
          </cell>
          <cell r="D233">
            <v>0</v>
          </cell>
          <cell r="E233">
            <v>0</v>
          </cell>
          <cell r="F233">
            <v>0</v>
          </cell>
          <cell r="G233">
            <v>0</v>
          </cell>
          <cell r="H233" t="str">
            <v>LS</v>
          </cell>
          <cell r="I233">
            <v>0</v>
          </cell>
        </row>
        <row r="234">
          <cell r="A234">
            <v>35</v>
          </cell>
          <cell r="B234" t="str">
            <v>Yard &amp; area fencing</v>
          </cell>
          <cell r="C234" t="str">
            <v>LS</v>
          </cell>
          <cell r="D234">
            <v>0</v>
          </cell>
          <cell r="E234">
            <v>0</v>
          </cell>
          <cell r="F234">
            <v>0</v>
          </cell>
          <cell r="G234">
            <v>0</v>
          </cell>
          <cell r="H234" t="str">
            <v>LS</v>
          </cell>
          <cell r="I234">
            <v>0</v>
          </cell>
        </row>
        <row r="235">
          <cell r="A235">
            <v>36</v>
          </cell>
          <cell r="B235" t="str">
            <v>Staff quarter</v>
          </cell>
          <cell r="C235" t="str">
            <v>LS</v>
          </cell>
          <cell r="D235">
            <v>0</v>
          </cell>
          <cell r="E235">
            <v>0</v>
          </cell>
          <cell r="F235">
            <v>0</v>
          </cell>
          <cell r="G235">
            <v>0</v>
          </cell>
          <cell r="H235" t="str">
            <v>LS</v>
          </cell>
          <cell r="I235">
            <v>0</v>
          </cell>
        </row>
        <row r="236">
          <cell r="A236">
            <v>37</v>
          </cell>
          <cell r="B236" t="str">
            <v>Rail Track</v>
          </cell>
          <cell r="C236" t="str">
            <v>LS</v>
          </cell>
          <cell r="D236">
            <v>0</v>
          </cell>
          <cell r="E236">
            <v>0</v>
          </cell>
          <cell r="F236">
            <v>1</v>
          </cell>
          <cell r="G236">
            <v>1</v>
          </cell>
          <cell r="H236" t="str">
            <v>LS</v>
          </cell>
          <cell r="I236">
            <v>1</v>
          </cell>
        </row>
        <row r="237">
          <cell r="A237">
            <v>38</v>
          </cell>
          <cell r="B237" t="str">
            <v>Station transformer foundation</v>
          </cell>
          <cell r="C237">
            <v>0</v>
          </cell>
          <cell r="D237">
            <v>0</v>
          </cell>
          <cell r="E237">
            <v>0</v>
          </cell>
          <cell r="F237">
            <v>0.30099999999999999</v>
          </cell>
          <cell r="G237">
            <v>0</v>
          </cell>
          <cell r="H237">
            <v>0.30099999999999999</v>
          </cell>
          <cell r="I237">
            <v>0</v>
          </cell>
        </row>
        <row r="238">
          <cell r="A238">
            <v>39</v>
          </cell>
          <cell r="B238" t="str">
            <v>Flag stone flooring &amp; Misc. civil works</v>
          </cell>
          <cell r="C238" t="str">
            <v>LS</v>
          </cell>
          <cell r="D238">
            <v>0</v>
          </cell>
          <cell r="E238">
            <v>0</v>
          </cell>
          <cell r="F238">
            <v>0.5</v>
          </cell>
          <cell r="G238">
            <v>0.5</v>
          </cell>
          <cell r="H238" t="str">
            <v>LS</v>
          </cell>
          <cell r="I238">
            <v>0.5</v>
          </cell>
        </row>
        <row r="239">
          <cell r="E239">
            <v>0</v>
          </cell>
          <cell r="F239">
            <v>0.5</v>
          </cell>
          <cell r="G239">
            <v>0.5</v>
          </cell>
          <cell r="H239" t="str">
            <v>LS</v>
          </cell>
          <cell r="I239">
            <v>0.5</v>
          </cell>
        </row>
        <row r="240">
          <cell r="A240" t="str">
            <v xml:space="preserve"> </v>
          </cell>
          <cell r="B240" t="str">
            <v>SUB TOTAL (I)</v>
          </cell>
          <cell r="C240">
            <v>0</v>
          </cell>
          <cell r="D240">
            <v>0</v>
          </cell>
          <cell r="E240">
            <v>0</v>
          </cell>
          <cell r="F240">
            <v>0</v>
          </cell>
          <cell r="G240">
            <v>7.0570000000000004</v>
          </cell>
          <cell r="H240">
            <v>0</v>
          </cell>
          <cell r="I240">
            <v>7.0570000000000004</v>
          </cell>
        </row>
        <row r="241">
          <cell r="I241">
            <v>7.0570000000000004</v>
          </cell>
        </row>
        <row r="242">
          <cell r="A242" t="str">
            <v>J</v>
          </cell>
          <cell r="B242" t="str">
            <v>ERECTION,TESTING &amp; COMMISSIONING ETC.</v>
          </cell>
        </row>
        <row r="243">
          <cell r="A243" t="str">
            <v>J</v>
          </cell>
          <cell r="B243" t="str">
            <v>ERECTION,TESTING &amp; COMMISSIONING ETC.</v>
          </cell>
        </row>
        <row r="244">
          <cell r="A244">
            <v>1</v>
          </cell>
          <cell r="B244" t="str">
            <v>160MVA Transformer</v>
          </cell>
          <cell r="C244">
            <v>0</v>
          </cell>
          <cell r="D244">
            <v>0</v>
          </cell>
          <cell r="E244">
            <v>0</v>
          </cell>
          <cell r="F244">
            <v>1.24</v>
          </cell>
          <cell r="G244">
            <v>0</v>
          </cell>
          <cell r="H244">
            <v>1.24</v>
          </cell>
          <cell r="I244">
            <v>0</v>
          </cell>
        </row>
        <row r="245">
          <cell r="A245">
            <v>2</v>
          </cell>
          <cell r="B245" t="str">
            <v>40MVA transformer</v>
          </cell>
          <cell r="C245">
            <v>1</v>
          </cell>
          <cell r="D245">
            <v>0</v>
          </cell>
          <cell r="E245">
            <v>0</v>
          </cell>
          <cell r="F245">
            <v>0.97</v>
          </cell>
          <cell r="G245">
            <v>0.97</v>
          </cell>
          <cell r="H245">
            <v>0.97</v>
          </cell>
          <cell r="I245">
            <v>0.97</v>
          </cell>
        </row>
        <row r="246">
          <cell r="A246">
            <v>3</v>
          </cell>
          <cell r="B246" t="str">
            <v>220KV CB</v>
          </cell>
          <cell r="C246">
            <v>0</v>
          </cell>
          <cell r="D246">
            <v>0</v>
          </cell>
          <cell r="E246">
            <v>0</v>
          </cell>
          <cell r="F246">
            <v>0.2</v>
          </cell>
          <cell r="G246">
            <v>0</v>
          </cell>
          <cell r="H246">
            <v>0.2</v>
          </cell>
          <cell r="I246">
            <v>0</v>
          </cell>
        </row>
        <row r="247">
          <cell r="A247">
            <v>4</v>
          </cell>
          <cell r="B247" t="str">
            <v>220KV CT</v>
          </cell>
          <cell r="C247">
            <v>0</v>
          </cell>
          <cell r="D247">
            <v>0</v>
          </cell>
          <cell r="E247">
            <v>0</v>
          </cell>
          <cell r="F247">
            <v>4.1000000000000002E-2</v>
          </cell>
          <cell r="G247">
            <v>0</v>
          </cell>
          <cell r="H247">
            <v>4.1000000000000002E-2</v>
          </cell>
          <cell r="I247">
            <v>0</v>
          </cell>
        </row>
        <row r="248">
          <cell r="A248">
            <v>5</v>
          </cell>
          <cell r="B248" t="str">
            <v>220KV Isolator</v>
          </cell>
          <cell r="C248">
            <v>0</v>
          </cell>
          <cell r="D248">
            <v>0</v>
          </cell>
          <cell r="E248">
            <v>0</v>
          </cell>
          <cell r="F248">
            <v>0.09</v>
          </cell>
          <cell r="G248">
            <v>0</v>
          </cell>
          <cell r="H248">
            <v>0.09</v>
          </cell>
          <cell r="I248">
            <v>0</v>
          </cell>
        </row>
        <row r="249">
          <cell r="A249">
            <v>6</v>
          </cell>
          <cell r="B249" t="str">
            <v>220KV LA</v>
          </cell>
          <cell r="C249">
            <v>0</v>
          </cell>
          <cell r="D249">
            <v>0</v>
          </cell>
          <cell r="E249">
            <v>0</v>
          </cell>
          <cell r="F249">
            <v>2.5000000000000001E-2</v>
          </cell>
          <cell r="G249">
            <v>0</v>
          </cell>
          <cell r="H249">
            <v>2.5000000000000001E-2</v>
          </cell>
          <cell r="I249">
            <v>0</v>
          </cell>
        </row>
        <row r="250">
          <cell r="A250">
            <v>7</v>
          </cell>
          <cell r="B250" t="str">
            <v>220KV PT/CVT</v>
          </cell>
          <cell r="C250">
            <v>0</v>
          </cell>
          <cell r="D250">
            <v>0</v>
          </cell>
          <cell r="E250">
            <v>0</v>
          </cell>
          <cell r="F250">
            <v>0.04</v>
          </cell>
          <cell r="G250">
            <v>0</v>
          </cell>
          <cell r="H250">
            <v>0.04</v>
          </cell>
          <cell r="I250">
            <v>0</v>
          </cell>
        </row>
        <row r="251">
          <cell r="A251">
            <v>8</v>
          </cell>
          <cell r="B251" t="str">
            <v>220KV C&amp;R Panel</v>
          </cell>
          <cell r="C251">
            <v>0</v>
          </cell>
          <cell r="D251">
            <v>0</v>
          </cell>
          <cell r="E251">
            <v>0</v>
          </cell>
          <cell r="F251">
            <v>0.18</v>
          </cell>
          <cell r="G251">
            <v>0</v>
          </cell>
          <cell r="H251">
            <v>0.18</v>
          </cell>
          <cell r="I251">
            <v>0</v>
          </cell>
        </row>
        <row r="252">
          <cell r="A252">
            <v>9</v>
          </cell>
          <cell r="B252" t="str">
            <v>220/132/33KV Gantries,Busbar equip.structure erection(in MT)</v>
          </cell>
          <cell r="C252">
            <v>22.567999999999998</v>
          </cell>
          <cell r="D252">
            <v>0</v>
          </cell>
          <cell r="E252">
            <v>0</v>
          </cell>
          <cell r="F252">
            <v>2.5000000000000001E-2</v>
          </cell>
          <cell r="G252">
            <v>0.56419999999999992</v>
          </cell>
          <cell r="H252">
            <v>2.5000000000000001E-2</v>
          </cell>
          <cell r="I252">
            <v>0.56419999999999992</v>
          </cell>
        </row>
        <row r="253">
          <cell r="A253">
            <v>10</v>
          </cell>
          <cell r="B253" t="str">
            <v>PLCC equipments</v>
          </cell>
          <cell r="C253" t="str">
            <v>LS</v>
          </cell>
          <cell r="D253">
            <v>0</v>
          </cell>
          <cell r="E253">
            <v>0</v>
          </cell>
          <cell r="F253">
            <v>0</v>
          </cell>
          <cell r="G253">
            <v>0</v>
          </cell>
          <cell r="H253" t="str">
            <v>LS</v>
          </cell>
          <cell r="I253">
            <v>0</v>
          </cell>
        </row>
        <row r="254">
          <cell r="A254">
            <v>11</v>
          </cell>
          <cell r="B254" t="str">
            <v>220KV PI/Solid Core Insulators</v>
          </cell>
          <cell r="C254">
            <v>0</v>
          </cell>
          <cell r="D254">
            <v>0</v>
          </cell>
          <cell r="E254">
            <v>0</v>
          </cell>
          <cell r="F254">
            <v>7.0000000000000001E-3</v>
          </cell>
          <cell r="G254">
            <v>0</v>
          </cell>
          <cell r="H254">
            <v>7.0000000000000001E-3</v>
          </cell>
          <cell r="I254">
            <v>0</v>
          </cell>
        </row>
        <row r="255">
          <cell r="A255">
            <v>12</v>
          </cell>
          <cell r="B255" t="str">
            <v>220KV wave trap</v>
          </cell>
          <cell r="C255">
            <v>0</v>
          </cell>
          <cell r="D255">
            <v>0</v>
          </cell>
          <cell r="E255">
            <v>0</v>
          </cell>
          <cell r="F255">
            <v>0.04</v>
          </cell>
          <cell r="G255">
            <v>0</v>
          </cell>
          <cell r="H255">
            <v>0.04</v>
          </cell>
          <cell r="I255">
            <v>0</v>
          </cell>
        </row>
        <row r="256">
          <cell r="A256">
            <v>13</v>
          </cell>
          <cell r="B256" t="str">
            <v>132KV CC</v>
          </cell>
          <cell r="C256">
            <v>0</v>
          </cell>
          <cell r="D256">
            <v>0</v>
          </cell>
          <cell r="E256">
            <v>0</v>
          </cell>
          <cell r="F256">
            <v>3.4000000000000002E-2</v>
          </cell>
          <cell r="G256">
            <v>0</v>
          </cell>
          <cell r="H256">
            <v>3.4000000000000002E-2</v>
          </cell>
          <cell r="I256">
            <v>0</v>
          </cell>
        </row>
        <row r="257">
          <cell r="A257">
            <v>14</v>
          </cell>
          <cell r="B257" t="str">
            <v>132KV CB</v>
          </cell>
          <cell r="C257">
            <v>1</v>
          </cell>
          <cell r="D257">
            <v>0</v>
          </cell>
          <cell r="E257">
            <v>0</v>
          </cell>
          <cell r="F257">
            <v>0.16</v>
          </cell>
          <cell r="G257">
            <v>0.16</v>
          </cell>
          <cell r="H257">
            <v>0.16</v>
          </cell>
          <cell r="I257">
            <v>0.16</v>
          </cell>
        </row>
        <row r="258">
          <cell r="A258">
            <v>15</v>
          </cell>
          <cell r="B258" t="str">
            <v>132KV CT</v>
          </cell>
          <cell r="C258">
            <v>3</v>
          </cell>
          <cell r="D258">
            <v>0</v>
          </cell>
          <cell r="E258">
            <v>0</v>
          </cell>
          <cell r="F258">
            <v>3.9E-2</v>
          </cell>
          <cell r="G258">
            <v>0.11699999999999999</v>
          </cell>
          <cell r="H258">
            <v>3.9E-2</v>
          </cell>
          <cell r="I258">
            <v>0.11699999999999999</v>
          </cell>
        </row>
        <row r="259">
          <cell r="A259">
            <v>16</v>
          </cell>
          <cell r="B259" t="str">
            <v>132KV Isolators</v>
          </cell>
          <cell r="C259">
            <v>3</v>
          </cell>
          <cell r="D259">
            <v>0</v>
          </cell>
          <cell r="E259">
            <v>0</v>
          </cell>
          <cell r="F259">
            <v>7.0000000000000007E-2</v>
          </cell>
          <cell r="G259">
            <v>0.21000000000000002</v>
          </cell>
          <cell r="H259">
            <v>7.0000000000000007E-2</v>
          </cell>
          <cell r="I259">
            <v>0.21000000000000002</v>
          </cell>
        </row>
        <row r="260">
          <cell r="A260">
            <v>17</v>
          </cell>
          <cell r="B260" t="str">
            <v>132KV LA</v>
          </cell>
          <cell r="C260">
            <v>3</v>
          </cell>
          <cell r="D260">
            <v>0</v>
          </cell>
          <cell r="E260">
            <v>0</v>
          </cell>
          <cell r="F260">
            <v>1.7000000000000001E-2</v>
          </cell>
          <cell r="G260">
            <v>5.1000000000000004E-2</v>
          </cell>
          <cell r="H260">
            <v>1.7000000000000001E-2</v>
          </cell>
          <cell r="I260">
            <v>5.1000000000000004E-2</v>
          </cell>
        </row>
        <row r="261">
          <cell r="A261">
            <v>18</v>
          </cell>
          <cell r="B261" t="str">
            <v>132KV C&amp;R Panel</v>
          </cell>
          <cell r="C261">
            <v>1</v>
          </cell>
          <cell r="D261">
            <v>0</v>
          </cell>
          <cell r="E261">
            <v>0</v>
          </cell>
          <cell r="F261">
            <v>0.14000000000000001</v>
          </cell>
          <cell r="G261">
            <v>0.14000000000000001</v>
          </cell>
          <cell r="H261">
            <v>0.14000000000000001</v>
          </cell>
          <cell r="I261">
            <v>0.14000000000000001</v>
          </cell>
        </row>
        <row r="262">
          <cell r="A262">
            <v>19</v>
          </cell>
          <cell r="B262" t="str">
            <v>132KV PI/Solid Core Insulator</v>
          </cell>
          <cell r="C262">
            <v>6</v>
          </cell>
          <cell r="D262">
            <v>0</v>
          </cell>
          <cell r="E262">
            <v>0</v>
          </cell>
          <cell r="F262">
            <v>5.0000000000000001E-3</v>
          </cell>
          <cell r="G262">
            <v>0.03</v>
          </cell>
          <cell r="H262">
            <v>5.0000000000000001E-3</v>
          </cell>
          <cell r="I262">
            <v>0.03</v>
          </cell>
        </row>
        <row r="263">
          <cell r="A263">
            <v>20</v>
          </cell>
          <cell r="B263" t="str">
            <v>132KV PT</v>
          </cell>
          <cell r="C263">
            <v>0</v>
          </cell>
          <cell r="D263">
            <v>0</v>
          </cell>
          <cell r="E263">
            <v>0</v>
          </cell>
          <cell r="F263">
            <v>3.4000000000000002E-2</v>
          </cell>
          <cell r="G263">
            <v>0</v>
          </cell>
          <cell r="H263">
            <v>3.4000000000000002E-2</v>
          </cell>
          <cell r="I263">
            <v>0</v>
          </cell>
        </row>
        <row r="264">
          <cell r="A264">
            <v>21</v>
          </cell>
          <cell r="B264" t="str">
            <v>33KV CB</v>
          </cell>
          <cell r="C264">
            <v>1</v>
          </cell>
          <cell r="D264">
            <v>0</v>
          </cell>
          <cell r="E264">
            <v>0</v>
          </cell>
          <cell r="F264">
            <v>8.2000000000000003E-2</v>
          </cell>
          <cell r="G264">
            <v>8.2000000000000003E-2</v>
          </cell>
          <cell r="H264">
            <v>8.2000000000000003E-2</v>
          </cell>
          <cell r="I264">
            <v>8.2000000000000003E-2</v>
          </cell>
        </row>
        <row r="265">
          <cell r="A265">
            <v>22</v>
          </cell>
          <cell r="B265" t="str">
            <v>33KV CT</v>
          </cell>
          <cell r="C265">
            <v>3</v>
          </cell>
          <cell r="D265">
            <v>0</v>
          </cell>
          <cell r="E265">
            <v>0</v>
          </cell>
          <cell r="F265">
            <v>0.03</v>
          </cell>
          <cell r="G265">
            <v>0.09</v>
          </cell>
          <cell r="H265">
            <v>0.03</v>
          </cell>
          <cell r="I265">
            <v>0.09</v>
          </cell>
        </row>
        <row r="266">
          <cell r="A266">
            <v>23</v>
          </cell>
          <cell r="B266" t="str">
            <v>33KV PT</v>
          </cell>
          <cell r="C266">
            <v>0</v>
          </cell>
          <cell r="D266">
            <v>0</v>
          </cell>
          <cell r="E266">
            <v>0</v>
          </cell>
          <cell r="F266">
            <v>0.03</v>
          </cell>
          <cell r="G266">
            <v>0</v>
          </cell>
          <cell r="H266">
            <v>0.03</v>
          </cell>
          <cell r="I266">
            <v>0</v>
          </cell>
        </row>
        <row r="267">
          <cell r="A267">
            <v>24</v>
          </cell>
          <cell r="B267" t="str">
            <v>33KV Isolator</v>
          </cell>
          <cell r="C267">
            <v>2</v>
          </cell>
          <cell r="D267">
            <v>0</v>
          </cell>
          <cell r="E267">
            <v>0</v>
          </cell>
          <cell r="F267">
            <v>4.7E-2</v>
          </cell>
          <cell r="G267">
            <v>9.4E-2</v>
          </cell>
          <cell r="H267">
            <v>4.7E-2</v>
          </cell>
          <cell r="I267">
            <v>9.4E-2</v>
          </cell>
        </row>
        <row r="268">
          <cell r="A268">
            <v>25</v>
          </cell>
          <cell r="B268" t="str">
            <v>33KV LA</v>
          </cell>
          <cell r="C268">
            <v>3</v>
          </cell>
          <cell r="D268">
            <v>0</v>
          </cell>
          <cell r="E268">
            <v>0</v>
          </cell>
          <cell r="F268">
            <v>1.0999999999999999E-2</v>
          </cell>
          <cell r="G268">
            <v>3.3000000000000002E-2</v>
          </cell>
          <cell r="H268">
            <v>1.0999999999999999E-2</v>
          </cell>
          <cell r="I268">
            <v>3.3000000000000002E-2</v>
          </cell>
        </row>
        <row r="269">
          <cell r="A269">
            <v>26</v>
          </cell>
          <cell r="B269" t="str">
            <v>33KV C&amp;R Panel</v>
          </cell>
          <cell r="C269">
            <v>1</v>
          </cell>
          <cell r="D269">
            <v>0</v>
          </cell>
          <cell r="E269">
            <v>0</v>
          </cell>
          <cell r="F269">
            <v>0.13</v>
          </cell>
          <cell r="G269">
            <v>0.13</v>
          </cell>
          <cell r="H269">
            <v>0.13</v>
          </cell>
          <cell r="I269">
            <v>0.13</v>
          </cell>
        </row>
        <row r="270">
          <cell r="A270">
            <v>27</v>
          </cell>
          <cell r="B270" t="str">
            <v>33KV PI/Solid Core Insulators</v>
          </cell>
          <cell r="C270">
            <v>0</v>
          </cell>
          <cell r="D270">
            <v>0</v>
          </cell>
          <cell r="E270">
            <v>0</v>
          </cell>
          <cell r="F270">
            <v>3.0000000000000001E-3</v>
          </cell>
          <cell r="G270">
            <v>0</v>
          </cell>
          <cell r="H270">
            <v>3.0000000000000001E-3</v>
          </cell>
          <cell r="I270">
            <v>0</v>
          </cell>
        </row>
        <row r="271">
          <cell r="A271">
            <v>28</v>
          </cell>
          <cell r="B271" t="str">
            <v>Station Transformer,</v>
          </cell>
          <cell r="C271">
            <v>0</v>
          </cell>
          <cell r="D271">
            <v>0</v>
          </cell>
          <cell r="E271">
            <v>0</v>
          </cell>
          <cell r="F271">
            <v>7.0000000000000007E-2</v>
          </cell>
          <cell r="G271">
            <v>0</v>
          </cell>
          <cell r="H271">
            <v>7.0000000000000007E-2</v>
          </cell>
          <cell r="I271">
            <v>0</v>
          </cell>
        </row>
        <row r="272">
          <cell r="A272">
            <v>29</v>
          </cell>
          <cell r="B272" t="str">
            <v>Cable laying &amp; associated works</v>
          </cell>
          <cell r="C272" t="str">
            <v>LS</v>
          </cell>
          <cell r="D272">
            <v>0</v>
          </cell>
          <cell r="E272">
            <v>0</v>
          </cell>
          <cell r="F272">
            <v>0.2</v>
          </cell>
          <cell r="G272">
            <v>0.2</v>
          </cell>
          <cell r="H272" t="str">
            <v>LS</v>
          </cell>
          <cell r="I272">
            <v>0.2</v>
          </cell>
        </row>
        <row r="273">
          <cell r="A273">
            <v>30</v>
          </cell>
          <cell r="B273" t="str">
            <v>Earthing works</v>
          </cell>
          <cell r="C273" t="str">
            <v>LS</v>
          </cell>
          <cell r="D273">
            <v>0</v>
          </cell>
          <cell r="E273">
            <v>0</v>
          </cell>
          <cell r="F273">
            <v>0.2</v>
          </cell>
          <cell r="G273">
            <v>0.2</v>
          </cell>
          <cell r="H273" t="str">
            <v>LS</v>
          </cell>
          <cell r="I273">
            <v>0.2</v>
          </cell>
        </row>
        <row r="274">
          <cell r="A274">
            <v>31</v>
          </cell>
          <cell r="B274" t="str">
            <v>AC/DC Board</v>
          </cell>
          <cell r="C274">
            <v>0</v>
          </cell>
          <cell r="D274">
            <v>0</v>
          </cell>
          <cell r="E274">
            <v>0</v>
          </cell>
          <cell r="F274">
            <v>0.13100000000000001</v>
          </cell>
          <cell r="G274">
            <v>0</v>
          </cell>
          <cell r="H274">
            <v>0.13100000000000001</v>
          </cell>
          <cell r="I274">
            <v>0</v>
          </cell>
        </row>
        <row r="275">
          <cell r="A275">
            <v>32</v>
          </cell>
          <cell r="B275" t="str">
            <v>Fitting of lighting fixtures</v>
          </cell>
          <cell r="C275" t="str">
            <v>LS</v>
          </cell>
          <cell r="D275">
            <v>0</v>
          </cell>
          <cell r="E275">
            <v>0</v>
          </cell>
          <cell r="F275">
            <v>0.1</v>
          </cell>
          <cell r="G275">
            <v>0.1</v>
          </cell>
          <cell r="H275" t="str">
            <v>LS</v>
          </cell>
          <cell r="I275">
            <v>0.1</v>
          </cell>
        </row>
        <row r="276">
          <cell r="A276">
            <v>33</v>
          </cell>
          <cell r="B276" t="str">
            <v>110V 300Ah battery</v>
          </cell>
          <cell r="C276">
            <v>0</v>
          </cell>
          <cell r="D276">
            <v>0</v>
          </cell>
          <cell r="E276">
            <v>0</v>
          </cell>
          <cell r="F276">
            <v>0.14000000000000001</v>
          </cell>
          <cell r="G276">
            <v>0</v>
          </cell>
          <cell r="H276">
            <v>0.14000000000000001</v>
          </cell>
          <cell r="I276">
            <v>0</v>
          </cell>
        </row>
        <row r="277">
          <cell r="A277">
            <v>34</v>
          </cell>
          <cell r="B277" t="str">
            <v>110V 300Ah battery charger</v>
          </cell>
          <cell r="C277">
            <v>0</v>
          </cell>
          <cell r="D277">
            <v>0</v>
          </cell>
          <cell r="E277">
            <v>0</v>
          </cell>
          <cell r="F277">
            <v>9.5000000000000001E-2</v>
          </cell>
          <cell r="G277">
            <v>0</v>
          </cell>
          <cell r="H277">
            <v>9.5000000000000001E-2</v>
          </cell>
          <cell r="I277">
            <v>0</v>
          </cell>
        </row>
        <row r="278">
          <cell r="A278">
            <v>35</v>
          </cell>
          <cell r="B278" t="str">
            <v>48V 200Ah battery</v>
          </cell>
          <cell r="C278">
            <v>0</v>
          </cell>
          <cell r="D278">
            <v>0</v>
          </cell>
          <cell r="E278">
            <v>0</v>
          </cell>
          <cell r="F278">
            <v>0.1</v>
          </cell>
          <cell r="G278">
            <v>0</v>
          </cell>
          <cell r="H278">
            <v>0.1</v>
          </cell>
          <cell r="I278">
            <v>0</v>
          </cell>
        </row>
        <row r="279">
          <cell r="A279">
            <v>36</v>
          </cell>
          <cell r="B279" t="str">
            <v>48V 200Ah battery charger</v>
          </cell>
          <cell r="C279">
            <v>0</v>
          </cell>
          <cell r="D279">
            <v>0</v>
          </cell>
          <cell r="E279">
            <v>0</v>
          </cell>
          <cell r="F279">
            <v>8.5000000000000006E-2</v>
          </cell>
          <cell r="G279">
            <v>0</v>
          </cell>
          <cell r="H279">
            <v>8.5000000000000006E-2</v>
          </cell>
          <cell r="I279">
            <v>0</v>
          </cell>
        </row>
        <row r="280">
          <cell r="A280">
            <v>37</v>
          </cell>
          <cell r="B280" t="str">
            <v xml:space="preserve">Stringing &amp; Jumpering </v>
          </cell>
          <cell r="C280" t="str">
            <v>LS</v>
          </cell>
          <cell r="D280">
            <v>0</v>
          </cell>
          <cell r="E280">
            <v>0</v>
          </cell>
          <cell r="F280">
            <v>0.5</v>
          </cell>
          <cell r="G280">
            <v>0.5</v>
          </cell>
          <cell r="H280" t="str">
            <v>LS</v>
          </cell>
          <cell r="I280">
            <v>0.5</v>
          </cell>
        </row>
        <row r="281">
          <cell r="A281">
            <v>38</v>
          </cell>
          <cell r="B281" t="str">
            <v>Testing &amp; Commissioning &amp; misc.expenditure</v>
          </cell>
          <cell r="C281" t="str">
            <v>LS</v>
          </cell>
          <cell r="D281">
            <v>0</v>
          </cell>
          <cell r="E281">
            <v>0</v>
          </cell>
          <cell r="F281">
            <v>0.1</v>
          </cell>
          <cell r="G281">
            <v>0.1</v>
          </cell>
          <cell r="H281" t="str">
            <v>LS</v>
          </cell>
          <cell r="I281">
            <v>0.1</v>
          </cell>
        </row>
        <row r="283">
          <cell r="E283">
            <v>0</v>
          </cell>
          <cell r="F283">
            <v>0.1</v>
          </cell>
          <cell r="G283">
            <v>0.1</v>
          </cell>
          <cell r="H283" t="str">
            <v>LS</v>
          </cell>
          <cell r="I283">
            <v>0.1</v>
          </cell>
        </row>
        <row r="284">
          <cell r="B284" t="str">
            <v>SUB TOTAL (J)</v>
          </cell>
          <cell r="C284">
            <v>0</v>
          </cell>
          <cell r="D284">
            <v>0</v>
          </cell>
          <cell r="E284">
            <v>0</v>
          </cell>
          <cell r="F284">
            <v>0</v>
          </cell>
          <cell r="G284">
            <v>3.7711999999999999</v>
          </cell>
          <cell r="H284">
            <v>0</v>
          </cell>
          <cell r="I284">
            <v>3.7711999999999999</v>
          </cell>
        </row>
      </sheetData>
      <sheetData sheetId="13">
        <row r="38">
          <cell r="A38" t="str">
            <v xml:space="preserve">ESTIMATE FOR INSTALLATION OF ADDITIONAL 1X40MVA 132/33KV TRANSFORMER AT EXISTING EHV SUBSTATION </v>
          </cell>
        </row>
      </sheetData>
      <sheetData sheetId="14">
        <row r="38">
          <cell r="A38" t="str">
            <v xml:space="preserve">ESTIMATE FOR INSTALLATION OF ADDITIONAL 1X40MVA 132/33KV TRANSFORMER AT EXISTING EHV SUBSTATION </v>
          </cell>
        </row>
      </sheetData>
      <sheetData sheetId="15">
        <row r="38">
          <cell r="A38" t="str">
            <v xml:space="preserve">ESTIMATE FOR INSTALLATION OF ADDITIONAL 1X40MVA 132/33KV TRANSFORMER AT EXISTING EHV SUBSTATION </v>
          </cell>
        </row>
      </sheetData>
      <sheetData sheetId="16">
        <row r="38">
          <cell r="A38" t="str">
            <v xml:space="preserve">ESTIMATE FOR INSTALLATION OF ADDITIONAL 1X40MVA 132/33KV TRANSFORMER AT EXISTING EHV SUBSTATION </v>
          </cell>
        </row>
      </sheetData>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소화실적"/>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erSplit"/>
      <sheetName val="Organic Scav"/>
      <sheetName val="Air consumption"/>
      <sheetName val="Power consump"/>
      <sheetName val="Chem consump"/>
      <sheetName val="Co-current"/>
      <sheetName val="DMFHoriz"/>
      <sheetName val="DMFVert"/>
      <sheetName val="Counter "/>
      <sheetName val="Pipe Sizing"/>
      <sheetName val="RO Cleaning"/>
      <sheetName val="UPCORE"/>
      <sheetName val="MixBed"/>
      <sheetName val="Analy"/>
      <sheetName val="CondPol"/>
      <sheetName val="Sheet1"/>
      <sheetName val="CaCO3 Conversion"/>
      <sheetName val="Storage Tank"/>
      <sheetName val="ACF"/>
      <sheetName val="Clarifier"/>
      <sheetName val="Sheet23"/>
      <sheetName val="pHadj"/>
      <sheetName val="Degasif"/>
      <sheetName val="Filter Press"/>
      <sheetName val="Dosing"/>
      <sheetName val="Neutralization"/>
      <sheetName val="Greensand"/>
      <sheetName val="Soft Exchanger"/>
      <sheetName val="Organic_Scav"/>
      <sheetName val="Air_consumption"/>
      <sheetName val="Power_consump"/>
      <sheetName val="Chem_consump"/>
      <sheetName val="Counter_"/>
      <sheetName val="Pipe_Sizing"/>
      <sheetName val="RO_Cleaning"/>
      <sheetName val="CaCO3_Conversion"/>
      <sheetName val="Storage_Tank"/>
      <sheetName val="Filter_Press"/>
      <sheetName val="Soft_Exchanger"/>
      <sheetName val="BS-203"/>
      <sheetName val="Sheet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68">
          <cell r="F68">
            <v>3.5959844104579464</v>
          </cell>
        </row>
        <row r="69">
          <cell r="F69">
            <v>1.7979922052289734</v>
          </cell>
        </row>
        <row r="70">
          <cell r="F70">
            <v>0</v>
          </cell>
        </row>
        <row r="71">
          <cell r="F71">
            <v>5.3939766156869196</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소요시간"/>
      <sheetName val="ITEM-LIST"/>
    </sheetNames>
    <sheetDataSet>
      <sheetData sheetId="0" refreshError="1"/>
      <sheetData sheetId="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Gainloss computation FY 09-10"/>
      <sheetName val="Summary"/>
      <sheetName val="Issue sheet"/>
      <sheetName val="Tables_True up FY 09-10"/>
      <sheetName val="Assumption_PwC"/>
      <sheetName val="O&amp;M costs"/>
      <sheetName val="Sheet1"/>
      <sheetName val="F1(Bhu)"/>
      <sheetName val="F1(Cha)"/>
      <sheetName val="F1(Paras)"/>
      <sheetName val="F1(Kor)"/>
      <sheetName val="F1(Parli)"/>
      <sheetName val="F1(Kha)"/>
      <sheetName val="F1(Nasi)"/>
      <sheetName val="F1(Uran)"/>
      <sheetName val="F1(Hydro)"/>
      <sheetName val="F2.1(Bhu)"/>
      <sheetName val="F2.1(Cha)"/>
      <sheetName val="F2.1(Kor)"/>
      <sheetName val="F2.1(Parli)"/>
      <sheetName val="F2.1(Paras)"/>
      <sheetName val="F2.1(Nasi)"/>
      <sheetName val="F2.1(Uran)"/>
      <sheetName val="F2.1(Kha)"/>
      <sheetName val="Capex Bhu"/>
      <sheetName val="Capex Cha"/>
      <sheetName val="Capex Kor"/>
      <sheetName val="Capex Paras"/>
      <sheetName val="Capex Kha"/>
      <sheetName val="Capex parli"/>
      <sheetName val="Capex Nasi"/>
      <sheetName val="Capex Uran"/>
      <sheetName val="Capex Hydro"/>
      <sheetName val="F2.2(Bhu)"/>
      <sheetName val="F2.3(Bhu)"/>
      <sheetName val="F2.6(Bhu)"/>
      <sheetName val="F3(Bhu)"/>
      <sheetName val="F3.1(Bhu)"/>
      <sheetName val="F3.2(Bhu)"/>
      <sheetName val="F3.3(Bhu)"/>
      <sheetName val="F4(Bhu)"/>
      <sheetName val="F5(Bhu)"/>
      <sheetName val="F5.1(Bhu)"/>
      <sheetName val="F5.2(Bhu)"/>
      <sheetName val="F5.3(Bhu)"/>
      <sheetName val="F5.4(Bhu)"/>
      <sheetName val="F6(Bhu)"/>
      <sheetName val="F11(Bhu)"/>
      <sheetName val="F12(Bhu)"/>
      <sheetName val="F2.2(Cha)"/>
      <sheetName val="F2.3(Cha)"/>
      <sheetName val="F2.6(Cha)"/>
      <sheetName val="F3(Cha)"/>
      <sheetName val="F3.1(Cha)"/>
      <sheetName val="F3.2(Cha)"/>
      <sheetName val="F3.3(Cha)"/>
      <sheetName val="F4(Cha)"/>
      <sheetName val="F5.1(Cha)"/>
      <sheetName val="F5(Cha)"/>
      <sheetName val="F5.2(Cha)"/>
      <sheetName val="F5.3(Cha)"/>
      <sheetName val="F5.4(Cha)"/>
      <sheetName val="F6(Cha)"/>
      <sheetName val="F11(Cha)"/>
      <sheetName val="F12(Cha)"/>
      <sheetName val="O&amp;m EXP."/>
      <sheetName val="Koradi"/>
      <sheetName val="F2.2(Kor)"/>
      <sheetName val="F2.3(Kor)"/>
      <sheetName val="F2.6(Kor)"/>
      <sheetName val="F3(Kor)"/>
      <sheetName val="F3.1(Kor)"/>
      <sheetName val="F3.2(Kor)"/>
      <sheetName val="F3.3(Kor)"/>
      <sheetName val="F4(Kor)"/>
      <sheetName val="F5.4(Kor)"/>
      <sheetName val="F5(Kor)"/>
      <sheetName val="F5.1(Kor)"/>
      <sheetName val="F5.2(Kor)"/>
      <sheetName val="F5.3(Kor)"/>
      <sheetName val="F6(Kor)"/>
      <sheetName val="F11(Kor)"/>
      <sheetName val="F12(Kor)"/>
      <sheetName val="Paras"/>
      <sheetName val="F2.2(Paras)"/>
      <sheetName val="F2.3(Paras)"/>
      <sheetName val="F2.6(Paras)"/>
      <sheetName val="F3(Paras)"/>
      <sheetName val="F3.1(Paras)"/>
      <sheetName val="F3.2(Paras)"/>
      <sheetName val="F3.3(Paras)"/>
      <sheetName val="F4(Paras)"/>
      <sheetName val="F5(Paras)"/>
      <sheetName val="F5.1(Paras)"/>
      <sheetName val="F5.2(Paras)"/>
      <sheetName val="F5.3(Paras)"/>
      <sheetName val="F5.4(Paras)"/>
      <sheetName val="F6(Paras)"/>
      <sheetName val="F11(Paras)"/>
      <sheetName val="F12(Paras)"/>
      <sheetName val="Parli"/>
      <sheetName val="F2.2(Parli)"/>
      <sheetName val="F2.3(Parli)"/>
      <sheetName val="F2.6(Parli)"/>
      <sheetName val="F3(Parli)"/>
      <sheetName val="F3.1(Parli)"/>
      <sheetName val="F3.2(Parli)"/>
      <sheetName val="F3.3(Parli)"/>
      <sheetName val="F4(Parli)"/>
      <sheetName val="F5(Parli)"/>
      <sheetName val="F5.1(Parli)"/>
      <sheetName val="F5.2(Parli)"/>
      <sheetName val="F5.3(Parli)"/>
      <sheetName val="F5.4(Parli)"/>
      <sheetName val="F6(Parli)"/>
      <sheetName val="F11(Parli)"/>
      <sheetName val="F12(Parli)"/>
      <sheetName val="Khaperkheda"/>
      <sheetName val="F2.2(Kha)"/>
      <sheetName val="F2.3(Kha)"/>
      <sheetName val="F2.6(Kha)"/>
      <sheetName val="F3(Kha)"/>
      <sheetName val="F3.1(Kha)"/>
      <sheetName val="F3.2(Kha)"/>
      <sheetName val="F3.3(Kha)"/>
      <sheetName val="F4(Kha)"/>
      <sheetName val="F5(Kha)"/>
      <sheetName val="F5.1(Kha)"/>
      <sheetName val="F5.2(Kha)"/>
      <sheetName val="F5.3(Kha)"/>
      <sheetName val="F5.4(Kha)"/>
      <sheetName val="F6(Kha)"/>
      <sheetName val="F11(Kha)"/>
      <sheetName val="F12(Kha)"/>
      <sheetName val="Nasik"/>
      <sheetName val="F2.2(Nasi)"/>
      <sheetName val="F2.3(Nasi)"/>
      <sheetName val="F2.6(Nasi)"/>
      <sheetName val="F3(Nasi)"/>
      <sheetName val="F3.1(Nasi)"/>
      <sheetName val="F3.2(Nasi)"/>
      <sheetName val="F3.3(Nasi)"/>
      <sheetName val="F4(Nasi)"/>
      <sheetName val="F5(Nasi)"/>
      <sheetName val="F5.1(Nasi)"/>
      <sheetName val="F5.3(Nasi)"/>
      <sheetName val="F5.2(Nasi)"/>
      <sheetName val="F5.4(Nasi)"/>
      <sheetName val="F6(Nasi)"/>
      <sheetName val="F11(Nasi)"/>
      <sheetName val="F12(Nasi)"/>
      <sheetName val="Uran"/>
      <sheetName val="F2.2(Uran)"/>
      <sheetName val="F2.3(Uran)"/>
      <sheetName val="F2.6(Uran)"/>
      <sheetName val="F3(Uran)"/>
      <sheetName val="F3.1(Uran)"/>
      <sheetName val="F3.2(Uran)"/>
      <sheetName val="F3.3(Uran)"/>
      <sheetName val="F4(Uran)"/>
      <sheetName val="F5(Uran)"/>
      <sheetName val="F5.1(Uran)"/>
      <sheetName val="F5.2(Uran)"/>
      <sheetName val="F5.3(Uran)"/>
      <sheetName val="F5.4(Uran)"/>
      <sheetName val="F6(Uran)"/>
      <sheetName val="F11(Uran)"/>
      <sheetName val="F12(Uran)"/>
      <sheetName val="Hydro"/>
      <sheetName val="F2.1(Hydro)"/>
      <sheetName val="F2.3(Hydro)"/>
      <sheetName val="F2.4(Hydro)"/>
      <sheetName val="F2.6(Hydro)"/>
      <sheetName val="F3(Hydro)"/>
      <sheetName val="F3.1(Hydro)"/>
      <sheetName val="F3.2(Hydro)"/>
      <sheetName val="F3.3(Hydro)"/>
      <sheetName val="F4(Koyna)"/>
      <sheetName val="F4(PuneHydro)"/>
      <sheetName val="F4(NasikHydro)"/>
      <sheetName val="F5(Hydro)"/>
      <sheetName val="F5.1(Hydro)"/>
      <sheetName val="F5.2(Hydro)"/>
      <sheetName val="F4(Hydro)"/>
      <sheetName val="F5.4(PuneHydro)"/>
      <sheetName val="F5.3(PuneHydro)"/>
      <sheetName val="F5.3(NasikHydro)"/>
      <sheetName val="F5.4(NasikHydro)"/>
      <sheetName val="F5.4(Koyna)"/>
      <sheetName val="F5.3(Koyna)"/>
      <sheetName val="F6(Hydro)"/>
      <sheetName val="F11(Hydro)"/>
      <sheetName val="F12(Hydro)"/>
      <sheetName val="Revised True Up 200809"/>
      <sheetName val="Impact of FY 08-09"/>
    </sheetNames>
    <sheetDataSet>
      <sheetData sheetId="0">
        <row r="3">
          <cell r="B3">
            <v>7.8600000000000003E-2</v>
          </cell>
        </row>
        <row r="16">
          <cell r="B16">
            <v>0.13</v>
          </cell>
        </row>
      </sheetData>
      <sheetData sheetId="1" refreshError="1"/>
      <sheetData sheetId="2" refreshError="1"/>
      <sheetData sheetId="3" refreshError="1"/>
      <sheetData sheetId="4" refreshError="1"/>
      <sheetData sheetId="5">
        <row r="7">
          <cell r="D7">
            <v>0.1074</v>
          </cell>
          <cell r="E7">
            <v>0.1055</v>
          </cell>
        </row>
        <row r="8">
          <cell r="D8">
            <v>8.1799999999999998E-2</v>
          </cell>
        </row>
        <row r="116">
          <cell r="C116">
            <v>0.11749999999999999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30">
          <cell r="V30">
            <v>27.489999999999995</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ny"/>
      <sheetName val="License Area"/>
      <sheetName val="LA-ARR-PU"/>
      <sheetName val="LA-PU"/>
      <sheetName val="LA-ARR"/>
      <sheetName val="LA-ARR-PU "/>
      <sheetName val="Co. Graphs"/>
      <sheetName val="OB Graphs"/>
      <sheetName val="License_Area"/>
      <sheetName val="LA-ARR-PU_"/>
      <sheetName val="Co__Graphs"/>
      <sheetName val="OB_Graph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96상2"/>
      <sheetName val="해외 기술훈련비 (합계)"/>
      <sheetName val="해외 연수비용 계산-삭제"/>
      <sheetName val="Book2"/>
      <sheetName val="카메라"/>
      <sheetName val="#REF"/>
      <sheetName val="자바라1"/>
      <sheetName val="투자종합 (2)"/>
      <sheetName val="해외_기술훈련비_(합계)"/>
      <sheetName val="해외_연수비용_계산-삭제"/>
      <sheetName val="투자종합_(2)"/>
    </sheetNames>
    <definedNames>
      <definedName name="GUESTPNT"/>
      <definedName name="RTPNT"/>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Sheet1"/>
      <sheetName val="1997-1998"/>
      <sheetName val="1998-1999"/>
      <sheetName val="1999-2000"/>
      <sheetName val="2000-01"/>
      <sheetName val="2001-02"/>
      <sheetName val="2002-03"/>
      <sheetName val="2003-04"/>
      <sheetName val="2004-05"/>
      <sheetName val="2005-06"/>
      <sheetName val="2006-07"/>
      <sheetName val="2007-08"/>
      <sheetName val="2008-09"/>
      <sheetName val="2009-10"/>
      <sheetName val="2010-11"/>
      <sheetName val="2011-12"/>
      <sheetName val="2012-13"/>
      <sheetName val="2013-14"/>
      <sheetName val="2014-15"/>
      <sheetName val="2014-15-U-2ESD"/>
      <sheetName val="Yly-Gen"/>
      <sheetName val="Data"/>
      <sheetName val="Since Comm,"/>
      <sheetName val="History Data"/>
      <sheetName val="Gen.Data 87-97"/>
      <sheetName val="C.F., C.V. &amp; H.R."/>
      <sheetName val="Gen., Coal Factor, Heat Rate"/>
      <sheetName val="SAP-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ARR-PU"/>
      <sheetName val="Company-Base"/>
      <sheetName val="License Area"/>
      <sheetName val="financial data"/>
      <sheetName val="Notional Int"/>
      <sheetName val="LA-PU"/>
      <sheetName val="LA-ARR FY07"/>
      <sheetName val="LA-ARR-PU FY07"/>
      <sheetName val="LA-Revenue"/>
      <sheetName val="LA-PU (AJE)"/>
      <sheetName val="ABP Input"/>
      <sheetName val="Co. Graphs"/>
      <sheetName val="OB Graphs"/>
      <sheetName val="License_Area"/>
      <sheetName val="financial_data"/>
      <sheetName val="Notional_Int"/>
      <sheetName val="LA-ARR_FY07"/>
      <sheetName val="LA-ARR-PU_FY07"/>
      <sheetName val="LA-PU_(AJE)"/>
      <sheetName val="ABP_Input"/>
      <sheetName val="Co__Graphs"/>
      <sheetName val="OB_Graph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공통데이터"/>
      <sheetName val="제작데이터"/>
      <sheetName val="자재리스트"/>
      <sheetName val="집계표"/>
      <sheetName val="생산목표"/>
      <sheetName val="세부내역"/>
      <sheetName val="타부서집계표"/>
      <sheetName val="구매분_Modify"/>
      <sheetName val="제작분_Modify"/>
      <sheetName val="Sheet3"/>
      <sheetName val="세부내역서"/>
    </sheetNames>
    <sheetDataSet>
      <sheetData sheetId="0" refreshError="1"/>
      <sheetData sheetId="1" refreshError="1"/>
      <sheetData sheetId="2" refreshError="1"/>
      <sheetData sheetId="3" refreshError="1">
        <row r="9">
          <cell r="D9">
            <v>0</v>
          </cell>
          <cell r="E9">
            <v>209</v>
          </cell>
          <cell r="F9">
            <v>29091</v>
          </cell>
          <cell r="G9">
            <v>3361</v>
          </cell>
          <cell r="H9">
            <v>0</v>
          </cell>
          <cell r="I9">
            <v>135</v>
          </cell>
          <cell r="J9">
            <v>3453</v>
          </cell>
          <cell r="L9">
            <v>6523</v>
          </cell>
          <cell r="M9">
            <v>5275</v>
          </cell>
          <cell r="N9">
            <v>58</v>
          </cell>
          <cell r="O9">
            <v>10939</v>
          </cell>
        </row>
        <row r="46">
          <cell r="D46">
            <v>0</v>
          </cell>
          <cell r="E46">
            <v>14</v>
          </cell>
          <cell r="F46">
            <v>1947</v>
          </cell>
          <cell r="G46">
            <v>225</v>
          </cell>
          <cell r="H46">
            <v>0</v>
          </cell>
          <cell r="I46">
            <v>9</v>
          </cell>
          <cell r="J46">
            <v>231</v>
          </cell>
          <cell r="L46">
            <v>436</v>
          </cell>
          <cell r="M46">
            <v>353</v>
          </cell>
          <cell r="N46">
            <v>3</v>
          </cell>
          <cell r="O46">
            <v>732</v>
          </cell>
        </row>
        <row r="47">
          <cell r="D47">
            <v>135603</v>
          </cell>
        </row>
        <row r="55">
          <cell r="D55">
            <v>0</v>
          </cell>
          <cell r="E55">
            <v>2</v>
          </cell>
          <cell r="F55">
            <v>0</v>
          </cell>
          <cell r="G55">
            <v>815</v>
          </cell>
          <cell r="H55">
            <v>0</v>
          </cell>
          <cell r="I55">
            <v>5</v>
          </cell>
          <cell r="J55">
            <v>197</v>
          </cell>
          <cell r="L55">
            <v>1583</v>
          </cell>
          <cell r="M55">
            <v>236</v>
          </cell>
          <cell r="N55">
            <v>2</v>
          </cell>
          <cell r="O55">
            <v>625</v>
          </cell>
        </row>
        <row r="60">
          <cell r="D60">
            <v>0</v>
          </cell>
          <cell r="E60">
            <v>2</v>
          </cell>
          <cell r="F60">
            <v>0</v>
          </cell>
          <cell r="G60">
            <v>2011</v>
          </cell>
          <cell r="H60">
            <v>149835</v>
          </cell>
          <cell r="I60">
            <v>10</v>
          </cell>
          <cell r="J60">
            <v>1188</v>
          </cell>
          <cell r="L60">
            <v>3904</v>
          </cell>
          <cell r="M60">
            <v>2929</v>
          </cell>
          <cell r="N60">
            <v>4</v>
          </cell>
          <cell r="O60">
            <v>3764</v>
          </cell>
        </row>
        <row r="83">
          <cell r="D83">
            <v>0</v>
          </cell>
          <cell r="E83">
            <v>36</v>
          </cell>
          <cell r="F83">
            <v>5026</v>
          </cell>
          <cell r="G83">
            <v>580</v>
          </cell>
          <cell r="H83">
            <v>0</v>
          </cell>
          <cell r="I83">
            <v>23</v>
          </cell>
          <cell r="J83">
            <v>596</v>
          </cell>
          <cell r="L83">
            <v>1127</v>
          </cell>
          <cell r="M83">
            <v>911</v>
          </cell>
          <cell r="N83">
            <v>10</v>
          </cell>
          <cell r="O83">
            <v>1890</v>
          </cell>
        </row>
        <row r="84">
          <cell r="D84">
            <v>91650</v>
          </cell>
        </row>
        <row r="85">
          <cell r="D85">
            <v>365</v>
          </cell>
        </row>
        <row r="89">
          <cell r="D89">
            <v>0</v>
          </cell>
          <cell r="E89">
            <v>2028</v>
          </cell>
          <cell r="F89">
            <v>92655</v>
          </cell>
          <cell r="G89">
            <v>6339</v>
          </cell>
          <cell r="H89">
            <v>0</v>
          </cell>
          <cell r="I89">
            <v>124</v>
          </cell>
          <cell r="J89">
            <v>3428</v>
          </cell>
          <cell r="L89">
            <v>12309</v>
          </cell>
          <cell r="M89">
            <v>8183</v>
          </cell>
          <cell r="N89">
            <v>50</v>
          </cell>
          <cell r="O89">
            <v>10858</v>
          </cell>
        </row>
        <row r="92">
          <cell r="D92">
            <v>0</v>
          </cell>
          <cell r="E92">
            <v>0</v>
          </cell>
          <cell r="F92">
            <v>0</v>
          </cell>
          <cell r="G92">
            <v>317</v>
          </cell>
          <cell r="H92">
            <v>1600</v>
          </cell>
          <cell r="I92">
            <v>2</v>
          </cell>
          <cell r="J92">
            <v>76</v>
          </cell>
          <cell r="L92">
            <v>616</v>
          </cell>
          <cell r="M92">
            <v>92</v>
          </cell>
          <cell r="N92">
            <v>0</v>
          </cell>
          <cell r="O92">
            <v>243</v>
          </cell>
        </row>
        <row r="93">
          <cell r="D93">
            <v>0</v>
          </cell>
          <cell r="E93">
            <v>13</v>
          </cell>
          <cell r="F93">
            <v>773</v>
          </cell>
          <cell r="G93">
            <v>33</v>
          </cell>
          <cell r="H93">
            <v>0</v>
          </cell>
          <cell r="I93">
            <v>1</v>
          </cell>
          <cell r="J93">
            <v>53</v>
          </cell>
          <cell r="L93">
            <v>64</v>
          </cell>
          <cell r="M93">
            <v>88</v>
          </cell>
          <cell r="N93">
            <v>0</v>
          </cell>
          <cell r="O93">
            <v>170</v>
          </cell>
        </row>
        <row r="97">
          <cell r="D97">
            <v>0</v>
          </cell>
          <cell r="E97">
            <v>0</v>
          </cell>
          <cell r="F97">
            <v>0</v>
          </cell>
          <cell r="G97">
            <v>609</v>
          </cell>
          <cell r="H97">
            <v>45372</v>
          </cell>
          <cell r="I97">
            <v>3</v>
          </cell>
          <cell r="J97">
            <v>359</v>
          </cell>
          <cell r="L97">
            <v>1182</v>
          </cell>
          <cell r="M97">
            <v>887</v>
          </cell>
          <cell r="N97">
            <v>1</v>
          </cell>
          <cell r="O97">
            <v>1139</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8"/>
      <sheetName val="COA-17"/>
    </sheetNames>
    <sheetDataSet>
      <sheetData sheetId="0" refreshError="1"/>
      <sheetData sheetId="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_5"/>
      <sheetName val="Monthly_Qtr "/>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1 02 Est.at Existing Tariff"/>
      <sheetName val="Financial Estimates"/>
      <sheetName val="Sheet1"/>
      <sheetName val="Sheet2"/>
      <sheetName val="Sheet3"/>
      <sheetName val="#REF"/>
      <sheetName val="Fixed Charge"/>
      <sheetName val="FAC (Running FAC)"/>
      <sheetName val="per unit"/>
      <sheetName val="ins spares"/>
    </sheetNames>
    <sheetDataSet>
      <sheetData sheetId="0" refreshError="1"/>
      <sheetData sheetId="1" refreshError="1">
        <row r="8">
          <cell r="A8" t="str">
            <v>AI.</v>
          </cell>
          <cell r="B8" t="str">
            <v>ENERGY DISTRIBUTED(MUS)</v>
          </cell>
        </row>
        <row r="10">
          <cell r="A10">
            <v>1</v>
          </cell>
          <cell r="B10" t="str">
            <v>SALES TO TPC'S CONSUMERS</v>
          </cell>
        </row>
        <row r="11">
          <cell r="B11" t="str">
            <v>TEXTILES</v>
          </cell>
          <cell r="C11">
            <v>499</v>
          </cell>
          <cell r="D11">
            <v>500</v>
          </cell>
        </row>
        <row r="12">
          <cell r="B12" t="str">
            <v>HT INDUSTRIES</v>
          </cell>
          <cell r="C12">
            <v>769</v>
          </cell>
          <cell r="D12">
            <v>754</v>
          </cell>
        </row>
        <row r="13">
          <cell r="B13" t="str">
            <v>HT COMMERCIAL</v>
          </cell>
          <cell r="C13">
            <v>0</v>
          </cell>
          <cell r="D13">
            <v>0</v>
          </cell>
        </row>
        <row r="14">
          <cell r="B14" t="str">
            <v>LT INDUSTRIES (SINGLE PART) (incl.Resi.)</v>
          </cell>
          <cell r="C14">
            <v>49</v>
          </cell>
          <cell r="D14">
            <v>81</v>
          </cell>
        </row>
        <row r="15">
          <cell r="B15" t="str">
            <v>LT INDUSTRIES (TWO PART)</v>
          </cell>
          <cell r="C15">
            <v>50</v>
          </cell>
          <cell r="D15">
            <v>80</v>
          </cell>
        </row>
        <row r="16">
          <cell r="B16" t="str">
            <v>LT COMMERCIAL (SINGLE PART)</v>
          </cell>
          <cell r="C16">
            <v>0</v>
          </cell>
          <cell r="D16">
            <v>0</v>
          </cell>
        </row>
        <row r="17">
          <cell r="B17" t="str">
            <v>LT COMMERCIAL (TWO PART)</v>
          </cell>
          <cell r="C17">
            <v>0</v>
          </cell>
          <cell r="D17">
            <v>0</v>
          </cell>
        </row>
        <row r="18">
          <cell r="B18" t="str">
            <v>RESIDENTIAL</v>
          </cell>
          <cell r="C18">
            <v>0</v>
          </cell>
          <cell r="D18">
            <v>0</v>
          </cell>
        </row>
        <row r="19">
          <cell r="B19" t="str">
            <v>RAILWAYS(INCL.INTERCHANGE)</v>
          </cell>
          <cell r="C19">
            <v>712</v>
          </cell>
          <cell r="D19">
            <v>720</v>
          </cell>
        </row>
        <row r="20">
          <cell r="C20" t="str">
            <v>----</v>
          </cell>
          <cell r="D20" t="str">
            <v>----</v>
          </cell>
        </row>
        <row r="21">
          <cell r="B21" t="str">
            <v>TOTAL (DIRECT CONSUMERS)</v>
          </cell>
          <cell r="C21">
            <v>2079</v>
          </cell>
          <cell r="D21">
            <v>2135</v>
          </cell>
        </row>
        <row r="22">
          <cell r="C22" t="str">
            <v>----</v>
          </cell>
          <cell r="D22" t="str">
            <v>----</v>
          </cell>
        </row>
        <row r="23">
          <cell r="B23" t="str">
            <v>BEST</v>
          </cell>
          <cell r="C23">
            <v>3608</v>
          </cell>
          <cell r="D23">
            <v>3670</v>
          </cell>
        </row>
        <row r="24">
          <cell r="B24" t="str">
            <v>BSES (22 KV/ 33 KV SUPPLY)</v>
          </cell>
          <cell r="C24">
            <v>2727</v>
          </cell>
          <cell r="D24">
            <v>2865</v>
          </cell>
        </row>
        <row r="25">
          <cell r="B25" t="str">
            <v>BSES (220 KV INTERCONNECTION)</v>
          </cell>
          <cell r="C25">
            <v>252</v>
          </cell>
          <cell r="D25">
            <v>235</v>
          </cell>
        </row>
        <row r="26">
          <cell r="B26" t="str">
            <v>BSES (TOTAL)</v>
          </cell>
          <cell r="C26">
            <v>2979</v>
          </cell>
          <cell r="D26">
            <v>3100</v>
          </cell>
        </row>
        <row r="27">
          <cell r="C27" t="str">
            <v>----</v>
          </cell>
          <cell r="D27" t="str">
            <v>----</v>
          </cell>
        </row>
        <row r="28">
          <cell r="B28" t="str">
            <v>BEST &amp; BSES- TOTAL</v>
          </cell>
          <cell r="C28">
            <v>6587</v>
          </cell>
          <cell r="D28">
            <v>6770</v>
          </cell>
        </row>
        <row r="29">
          <cell r="C29" t="str">
            <v>-----</v>
          </cell>
          <cell r="D29" t="str">
            <v>-----</v>
          </cell>
        </row>
        <row r="30">
          <cell r="B30" t="str">
            <v>TOTAL SALES</v>
          </cell>
          <cell r="C30">
            <v>8666</v>
          </cell>
          <cell r="D30">
            <v>8905</v>
          </cell>
        </row>
        <row r="31">
          <cell r="C31" t="str">
            <v>=====</v>
          </cell>
          <cell r="D31" t="str">
            <v>=====</v>
          </cell>
        </row>
        <row r="33">
          <cell r="A33">
            <v>2</v>
          </cell>
          <cell r="B33" t="str">
            <v>ENERGY ASSISTANCE TO MSEB</v>
          </cell>
          <cell r="C33">
            <v>480</v>
          </cell>
          <cell r="D33">
            <v>340</v>
          </cell>
        </row>
        <row r="35">
          <cell r="A35">
            <v>3</v>
          </cell>
          <cell r="B35" t="str">
            <v>SALES TO OTHER STATE UTILITIES</v>
          </cell>
          <cell r="C35">
            <v>0</v>
          </cell>
          <cell r="D35">
            <v>200</v>
          </cell>
        </row>
        <row r="37">
          <cell r="A37">
            <v>4</v>
          </cell>
          <cell r="B37" t="str">
            <v>TOTAL SALES INCLUDING MSEB AND OTHER STATES</v>
          </cell>
          <cell r="C37">
            <v>9146</v>
          </cell>
          <cell r="D37">
            <v>9445</v>
          </cell>
        </row>
        <row r="39">
          <cell r="A39">
            <v>5</v>
          </cell>
          <cell r="B39" t="str">
            <v>22 KV WHEELING FOR MSEB</v>
          </cell>
          <cell r="C39">
            <v>1530</v>
          </cell>
          <cell r="D39">
            <v>1530</v>
          </cell>
        </row>
        <row r="41">
          <cell r="A41">
            <v>6</v>
          </cell>
          <cell r="B41" t="str">
            <v xml:space="preserve">TOTAL ENERGY DISTRIBUTED </v>
          </cell>
          <cell r="C41">
            <v>10676</v>
          </cell>
          <cell r="D41">
            <v>10975</v>
          </cell>
        </row>
        <row r="43">
          <cell r="A43" t="str">
            <v>AII.</v>
          </cell>
          <cell r="B43" t="str">
            <v>RKVAH (MUs)</v>
          </cell>
        </row>
        <row r="45">
          <cell r="B45" t="str">
            <v>TEXTILES</v>
          </cell>
          <cell r="C45">
            <v>0</v>
          </cell>
          <cell r="D45">
            <v>0</v>
          </cell>
        </row>
        <row r="46">
          <cell r="B46" t="str">
            <v>HT INDUSTRIES</v>
          </cell>
          <cell r="C46">
            <v>0</v>
          </cell>
          <cell r="D46">
            <v>0</v>
          </cell>
        </row>
        <row r="47">
          <cell r="B47" t="str">
            <v>HT COMMERCIAL</v>
          </cell>
          <cell r="C47">
            <v>0</v>
          </cell>
          <cell r="D47">
            <v>0</v>
          </cell>
        </row>
        <row r="48">
          <cell r="B48" t="str">
            <v>LT INDUSTRIES (TWO PART TARIFF)</v>
          </cell>
          <cell r="C48">
            <v>0</v>
          </cell>
          <cell r="D48">
            <v>0</v>
          </cell>
        </row>
        <row r="49">
          <cell r="B49" t="str">
            <v>LT COMMERCIAL (TWO PART TARIFF)</v>
          </cell>
          <cell r="C49">
            <v>0</v>
          </cell>
          <cell r="D49">
            <v>0</v>
          </cell>
        </row>
        <row r="50">
          <cell r="B50" t="str">
            <v>RAILWAYS(INCL.INTERCHANGE)</v>
          </cell>
          <cell r="C50">
            <v>0</v>
          </cell>
          <cell r="D50">
            <v>0</v>
          </cell>
        </row>
        <row r="51">
          <cell r="C51" t="str">
            <v>-----</v>
          </cell>
          <cell r="D51" t="str">
            <v>-----</v>
          </cell>
        </row>
        <row r="52">
          <cell r="B52" t="str">
            <v>TOTAL TEX./IND./COMM/RLYS</v>
          </cell>
          <cell r="C52">
            <v>0</v>
          </cell>
          <cell r="D52">
            <v>0</v>
          </cell>
        </row>
        <row r="54">
          <cell r="B54" t="str">
            <v>BEST</v>
          </cell>
          <cell r="C54">
            <v>0</v>
          </cell>
          <cell r="D54">
            <v>0</v>
          </cell>
        </row>
        <row r="55">
          <cell r="B55" t="str">
            <v>BSES (22 KV)</v>
          </cell>
          <cell r="C55">
            <v>0</v>
          </cell>
          <cell r="D55">
            <v>0</v>
          </cell>
        </row>
        <row r="56">
          <cell r="B56" t="str">
            <v>BSES (220 KV)</v>
          </cell>
          <cell r="C56">
            <v>0</v>
          </cell>
          <cell r="D56">
            <v>0</v>
          </cell>
        </row>
        <row r="57">
          <cell r="C57" t="str">
            <v>-----</v>
          </cell>
          <cell r="D57" t="str">
            <v>-----</v>
          </cell>
        </row>
        <row r="58">
          <cell r="B58" t="str">
            <v>TOTAL</v>
          </cell>
          <cell r="C58">
            <v>0</v>
          </cell>
          <cell r="D58">
            <v>0</v>
          </cell>
        </row>
        <row r="61">
          <cell r="A61" t="str">
            <v>AII.</v>
          </cell>
          <cell r="B61" t="str">
            <v>MAXIMUM DEMAND (MVA)</v>
          </cell>
        </row>
        <row r="63">
          <cell r="B63" t="str">
            <v>TEXTILES</v>
          </cell>
          <cell r="C63">
            <v>989</v>
          </cell>
          <cell r="D63">
            <v>991</v>
          </cell>
        </row>
        <row r="64">
          <cell r="B64" t="str">
            <v>HT INDUSTRIES</v>
          </cell>
          <cell r="C64">
            <v>2368</v>
          </cell>
          <cell r="D64">
            <v>2322</v>
          </cell>
        </row>
        <row r="65">
          <cell r="B65" t="str">
            <v>HT COMMERCIAL</v>
          </cell>
          <cell r="C65">
            <v>0</v>
          </cell>
          <cell r="D65">
            <v>0</v>
          </cell>
        </row>
        <row r="66">
          <cell r="B66" t="str">
            <v>LT INDUSTRIES (TWO PART TARIFF)</v>
          </cell>
          <cell r="C66">
            <v>187</v>
          </cell>
          <cell r="D66">
            <v>299</v>
          </cell>
        </row>
        <row r="67">
          <cell r="B67" t="str">
            <v>LT COMMERCIAL (TWO PART TARIFF)</v>
          </cell>
          <cell r="C67">
            <v>0</v>
          </cell>
          <cell r="D67">
            <v>0</v>
          </cell>
        </row>
        <row r="68">
          <cell r="B68" t="str">
            <v>RAILWAYS(INCL.INTERCHANGE)</v>
          </cell>
          <cell r="C68">
            <v>1895</v>
          </cell>
          <cell r="D68">
            <v>1916</v>
          </cell>
        </row>
        <row r="69">
          <cell r="C69" t="str">
            <v>-----</v>
          </cell>
          <cell r="D69" t="str">
            <v>-----</v>
          </cell>
        </row>
        <row r="70">
          <cell r="B70" t="str">
            <v>TOTAL (DIRECT CONSUMERS)</v>
          </cell>
          <cell r="C70">
            <v>5439</v>
          </cell>
          <cell r="D70">
            <v>5528</v>
          </cell>
        </row>
        <row r="72">
          <cell r="B72" t="str">
            <v>BEST</v>
          </cell>
          <cell r="C72">
            <v>7821</v>
          </cell>
          <cell r="D72">
            <v>7955</v>
          </cell>
        </row>
        <row r="73">
          <cell r="B73" t="str">
            <v>BSES (22 KV/ 33 KV SUPPLY)</v>
          </cell>
          <cell r="C73">
            <v>6552</v>
          </cell>
          <cell r="D73">
            <v>6884</v>
          </cell>
        </row>
        <row r="74">
          <cell r="C74" t="str">
            <v>-----</v>
          </cell>
          <cell r="D74" t="str">
            <v>-----</v>
          </cell>
        </row>
        <row r="75">
          <cell r="B75" t="str">
            <v>TOTAL</v>
          </cell>
          <cell r="C75">
            <v>19812</v>
          </cell>
          <cell r="D75">
            <v>20367</v>
          </cell>
        </row>
        <row r="76">
          <cell r="C76" t="str">
            <v>-----</v>
          </cell>
          <cell r="D76" t="str">
            <v>-----</v>
          </cell>
        </row>
        <row r="78">
          <cell r="A78" t="str">
            <v>B.</v>
          </cell>
          <cell r="B78" t="str">
            <v>TPC GENERATION(MUS)</v>
          </cell>
        </row>
        <row r="80">
          <cell r="A80">
            <v>1</v>
          </cell>
          <cell r="B80" t="str">
            <v>HYDRO</v>
          </cell>
        </row>
        <row r="81">
          <cell r="B81" t="str">
            <v>FROM NATURAL SOURCE OF WATER</v>
          </cell>
          <cell r="C81">
            <v>1300</v>
          </cell>
          <cell r="D81">
            <v>1300</v>
          </cell>
        </row>
        <row r="82">
          <cell r="B82" t="str">
            <v>PEAKING ENERGY FROM PUMPED WATER</v>
          </cell>
          <cell r="C82">
            <v>0</v>
          </cell>
          <cell r="D82">
            <v>0</v>
          </cell>
        </row>
        <row r="83">
          <cell r="B83" t="str">
            <v>TOTAL</v>
          </cell>
          <cell r="C83">
            <v>1300</v>
          </cell>
          <cell r="D83">
            <v>1300</v>
          </cell>
        </row>
        <row r="85">
          <cell r="A85">
            <v>2</v>
          </cell>
          <cell r="B85" t="str">
            <v>THERMAL</v>
          </cell>
        </row>
        <row r="86">
          <cell r="B86" t="str">
            <v>UNIT NO.4</v>
          </cell>
          <cell r="C86">
            <v>814</v>
          </cell>
          <cell r="D86">
            <v>873</v>
          </cell>
        </row>
        <row r="87">
          <cell r="B87" t="str">
            <v>UNIT NO.5</v>
          </cell>
          <cell r="C87">
            <v>3295</v>
          </cell>
          <cell r="D87">
            <v>3941</v>
          </cell>
        </row>
        <row r="88">
          <cell r="B88" t="str">
            <v>UNIT NO.6</v>
          </cell>
          <cell r="C88">
            <v>3117</v>
          </cell>
          <cell r="D88">
            <v>2872</v>
          </cell>
        </row>
        <row r="89">
          <cell r="B89" t="str">
            <v>UNIT NOS.7 AS GT</v>
          </cell>
          <cell r="C89">
            <v>0</v>
          </cell>
          <cell r="D89">
            <v>0</v>
          </cell>
        </row>
        <row r="90">
          <cell r="B90" t="str">
            <v>UNIT NO.7</v>
          </cell>
          <cell r="C90">
            <v>1241</v>
          </cell>
          <cell r="D90">
            <v>1146</v>
          </cell>
        </row>
        <row r="91">
          <cell r="C91" t="str">
            <v>-----</v>
          </cell>
          <cell r="D91" t="str">
            <v>-----</v>
          </cell>
        </row>
        <row r="92">
          <cell r="B92" t="str">
            <v>TOTAL THERMAL GENERATION</v>
          </cell>
          <cell r="C92">
            <v>8467</v>
          </cell>
          <cell r="D92">
            <v>8832</v>
          </cell>
        </row>
        <row r="93">
          <cell r="C93" t="str">
            <v>-----</v>
          </cell>
          <cell r="D93" t="str">
            <v>-----</v>
          </cell>
        </row>
        <row r="95">
          <cell r="A95">
            <v>4</v>
          </cell>
          <cell r="B95" t="str">
            <v>TOTAL TPC GENERATION</v>
          </cell>
          <cell r="C95">
            <v>9767</v>
          </cell>
          <cell r="D95">
            <v>10132</v>
          </cell>
        </row>
        <row r="97">
          <cell r="A97">
            <v>5</v>
          </cell>
          <cell r="B97" t="str">
            <v>AUXILIARY CONSUMPTION</v>
          </cell>
          <cell r="C97">
            <v>397</v>
          </cell>
          <cell r="D97">
            <v>429</v>
          </cell>
        </row>
        <row r="98">
          <cell r="A98">
            <v>6</v>
          </cell>
          <cell r="B98" t="str">
            <v>ENERGY REQ.FOR PUMPING</v>
          </cell>
          <cell r="C98">
            <v>0</v>
          </cell>
          <cell r="D98">
            <v>0</v>
          </cell>
        </row>
        <row r="99">
          <cell r="C99" t="str">
            <v>-----</v>
          </cell>
          <cell r="D99" t="str">
            <v>-----</v>
          </cell>
        </row>
        <row r="100">
          <cell r="A100">
            <v>6</v>
          </cell>
          <cell r="B100" t="str">
            <v>NET TPC GENERATION</v>
          </cell>
          <cell r="C100">
            <v>9370</v>
          </cell>
          <cell r="D100">
            <v>9703</v>
          </cell>
        </row>
        <row r="101">
          <cell r="C101" t="str">
            <v>=====</v>
          </cell>
          <cell r="D101" t="str">
            <v>=====</v>
          </cell>
        </row>
        <row r="102">
          <cell r="A102" t="str">
            <v>C.</v>
          </cell>
          <cell r="B102" t="str">
            <v>PURCHASES FROM MSEB(MUS)</v>
          </cell>
        </row>
        <row r="104">
          <cell r="A104">
            <v>1</v>
          </cell>
          <cell r="B104" t="str">
            <v xml:space="preserve">T&amp;D LOSSES </v>
          </cell>
          <cell r="C104">
            <v>224</v>
          </cell>
          <cell r="D104">
            <v>258</v>
          </cell>
        </row>
        <row r="105">
          <cell r="A105">
            <v>2</v>
          </cell>
          <cell r="B105" t="str">
            <v>EX BUS REQUIREMENT</v>
          </cell>
          <cell r="C105">
            <v>10900</v>
          </cell>
          <cell r="D105">
            <v>11233</v>
          </cell>
        </row>
        <row r="106">
          <cell r="A106">
            <v>3</v>
          </cell>
          <cell r="B106" t="str">
            <v>GROSS PURCHASE</v>
          </cell>
          <cell r="C106">
            <v>1530</v>
          </cell>
          <cell r="D106">
            <v>1530</v>
          </cell>
        </row>
        <row r="107">
          <cell r="A107">
            <v>4</v>
          </cell>
          <cell r="B107" t="str">
            <v>22 KV WHEELING FOR MSEB</v>
          </cell>
          <cell r="C107">
            <v>1530</v>
          </cell>
          <cell r="D107">
            <v>1530</v>
          </cell>
        </row>
        <row r="108">
          <cell r="A108">
            <v>5</v>
          </cell>
          <cell r="B108" t="str">
            <v>NET PURCHASE</v>
          </cell>
          <cell r="C108">
            <v>0</v>
          </cell>
          <cell r="D108">
            <v>0</v>
          </cell>
        </row>
        <row r="110">
          <cell r="A110" t="str">
            <v>D.</v>
          </cell>
          <cell r="B110" t="str">
            <v>REVENUE (Rs.LAKHS)</v>
          </cell>
        </row>
        <row r="112">
          <cell r="A112">
            <v>1</v>
          </cell>
          <cell r="B112" t="str">
            <v>BASIC REVENUE</v>
          </cell>
        </row>
        <row r="113">
          <cell r="B113" t="str">
            <v>A) ENERGY CHARGES</v>
          </cell>
        </row>
        <row r="114">
          <cell r="B114" t="str">
            <v>TEXTILES</v>
          </cell>
          <cell r="C114">
            <v>9823</v>
          </cell>
          <cell r="D114">
            <v>9850</v>
          </cell>
        </row>
        <row r="115">
          <cell r="B115" t="str">
            <v>HT INDUSTRIES</v>
          </cell>
          <cell r="C115">
            <v>14984</v>
          </cell>
          <cell r="D115">
            <v>14854</v>
          </cell>
        </row>
        <row r="116">
          <cell r="B116" t="str">
            <v>HT COMMERCIAL</v>
          </cell>
          <cell r="C116">
            <v>0</v>
          </cell>
          <cell r="D116">
            <v>0</v>
          </cell>
        </row>
        <row r="117">
          <cell r="B117" t="str">
            <v>LT INDUSTRIES (SINGLE PART TARIFF) (incl. Resi.)</v>
          </cell>
          <cell r="C117">
            <v>1280</v>
          </cell>
          <cell r="D117">
            <v>2203</v>
          </cell>
        </row>
        <row r="118">
          <cell r="B118" t="str">
            <v>LT INDUSTRIES (TWO PART TARIFF)</v>
          </cell>
          <cell r="C118">
            <v>1132</v>
          </cell>
          <cell r="D118">
            <v>1616</v>
          </cell>
        </row>
        <row r="119">
          <cell r="B119" t="str">
            <v>LT COMMERCIAL (SINGLE PART TARIFF)</v>
          </cell>
          <cell r="C119">
            <v>0</v>
          </cell>
          <cell r="D119">
            <v>0</v>
          </cell>
        </row>
        <row r="120">
          <cell r="B120" t="str">
            <v>LT COMMERCIAL (TWO PART TARIFF)</v>
          </cell>
          <cell r="C120">
            <v>0</v>
          </cell>
          <cell r="D120">
            <v>0</v>
          </cell>
        </row>
        <row r="121">
          <cell r="B121" t="str">
            <v>RESIDENTIAL</v>
          </cell>
          <cell r="C121">
            <v>0</v>
          </cell>
          <cell r="D121">
            <v>0</v>
          </cell>
        </row>
        <row r="122">
          <cell r="B122" t="str">
            <v>RAILWAYS</v>
          </cell>
          <cell r="C122">
            <v>13996</v>
          </cell>
          <cell r="D122">
            <v>14184</v>
          </cell>
        </row>
        <row r="123">
          <cell r="B123" t="str">
            <v>TOTAL (DIRECT CONSUMERS)</v>
          </cell>
          <cell r="C123">
            <v>41215</v>
          </cell>
          <cell r="D123">
            <v>42707</v>
          </cell>
        </row>
        <row r="124">
          <cell r="B124" t="str">
            <v>BEST</v>
          </cell>
          <cell r="C124">
            <v>63429</v>
          </cell>
          <cell r="D124">
            <v>64959</v>
          </cell>
        </row>
        <row r="125">
          <cell r="B125" t="str">
            <v>BSES (22 KV/ 33 KV)</v>
          </cell>
          <cell r="C125">
            <v>48269</v>
          </cell>
          <cell r="D125">
            <v>50711</v>
          </cell>
        </row>
        <row r="126">
          <cell r="B126" t="str">
            <v>BSES (220 KV)</v>
          </cell>
          <cell r="C126">
            <v>5267</v>
          </cell>
          <cell r="D126">
            <v>4912</v>
          </cell>
        </row>
        <row r="127">
          <cell r="B127" t="str">
            <v>BSES (TOTAL)</v>
          </cell>
          <cell r="C127">
            <v>53536</v>
          </cell>
          <cell r="D127">
            <v>55623</v>
          </cell>
        </row>
        <row r="128">
          <cell r="C128" t="str">
            <v>------</v>
          </cell>
          <cell r="D128" t="str">
            <v>------</v>
          </cell>
        </row>
        <row r="129">
          <cell r="B129" t="str">
            <v>TOTAL</v>
          </cell>
          <cell r="C129">
            <v>157520</v>
          </cell>
          <cell r="D129">
            <v>163289</v>
          </cell>
        </row>
        <row r="131">
          <cell r="B131" t="str">
            <v>B) RKVAH CHARGES</v>
          </cell>
        </row>
        <row r="132">
          <cell r="B132" t="str">
            <v>TEXTILES</v>
          </cell>
          <cell r="C132">
            <v>0</v>
          </cell>
          <cell r="D132">
            <v>0</v>
          </cell>
        </row>
        <row r="133">
          <cell r="B133" t="str">
            <v>HT INDUSTRIES</v>
          </cell>
          <cell r="C133">
            <v>0</v>
          </cell>
          <cell r="D133">
            <v>0</v>
          </cell>
        </row>
        <row r="134">
          <cell r="B134" t="str">
            <v>HT COMMERCIAL</v>
          </cell>
          <cell r="C134">
            <v>0</v>
          </cell>
          <cell r="D134">
            <v>0</v>
          </cell>
        </row>
        <row r="135">
          <cell r="B135" t="str">
            <v>LT INDUSTRIES (TWO PART TARIFF)</v>
          </cell>
          <cell r="C135">
            <v>0</v>
          </cell>
          <cell r="D135">
            <v>0</v>
          </cell>
        </row>
        <row r="136">
          <cell r="B136" t="str">
            <v>LT COMMERCIAL (TWO PART TARIFF)</v>
          </cell>
          <cell r="C136">
            <v>0</v>
          </cell>
          <cell r="D136">
            <v>0</v>
          </cell>
        </row>
        <row r="137">
          <cell r="B137" t="str">
            <v>RAILWAYS</v>
          </cell>
          <cell r="C137">
            <v>0</v>
          </cell>
          <cell r="D137">
            <v>0</v>
          </cell>
        </row>
        <row r="138">
          <cell r="B138" t="str">
            <v>TOTAL (DIRECT CONSUMERS)</v>
          </cell>
          <cell r="C138">
            <v>0</v>
          </cell>
          <cell r="D138">
            <v>0</v>
          </cell>
        </row>
        <row r="139">
          <cell r="B139" t="str">
            <v>BEST</v>
          </cell>
          <cell r="C139">
            <v>0</v>
          </cell>
          <cell r="D139">
            <v>0</v>
          </cell>
        </row>
        <row r="140">
          <cell r="B140" t="str">
            <v>BSES (22 KV/ 33KV)</v>
          </cell>
          <cell r="C140">
            <v>0</v>
          </cell>
          <cell r="D140">
            <v>0</v>
          </cell>
        </row>
        <row r="141">
          <cell r="B141" t="str">
            <v>BSES (220 KV)</v>
          </cell>
          <cell r="C141">
            <v>0</v>
          </cell>
          <cell r="D141">
            <v>0</v>
          </cell>
        </row>
        <row r="142">
          <cell r="C142" t="str">
            <v>-----</v>
          </cell>
          <cell r="D142" t="str">
            <v>-----</v>
          </cell>
        </row>
        <row r="143">
          <cell r="B143" t="str">
            <v>TOTAL</v>
          </cell>
          <cell r="C143">
            <v>0</v>
          </cell>
          <cell r="D143">
            <v>0</v>
          </cell>
        </row>
        <row r="144">
          <cell r="C144" t="str">
            <v>-----</v>
          </cell>
          <cell r="D144" t="str">
            <v>-----</v>
          </cell>
        </row>
        <row r="145">
          <cell r="B145" t="str">
            <v>B) M.D.CHARGES</v>
          </cell>
        </row>
        <row r="146">
          <cell r="B146" t="str">
            <v>TEXTILES</v>
          </cell>
          <cell r="C146">
            <v>1681</v>
          </cell>
          <cell r="D146">
            <v>1685</v>
          </cell>
        </row>
        <row r="147">
          <cell r="B147" t="str">
            <v>HT INDUSTRIES</v>
          </cell>
          <cell r="C147">
            <v>4774</v>
          </cell>
          <cell r="D147">
            <v>3947</v>
          </cell>
        </row>
        <row r="148">
          <cell r="B148" t="str">
            <v>HT COMMERCIAL</v>
          </cell>
          <cell r="C148">
            <v>0</v>
          </cell>
          <cell r="D148">
            <v>0</v>
          </cell>
        </row>
        <row r="149">
          <cell r="B149" t="str">
            <v>LT INDUSTRIES (TWO PART TARIFF)</v>
          </cell>
          <cell r="C149">
            <v>327</v>
          </cell>
          <cell r="D149">
            <v>523</v>
          </cell>
        </row>
        <row r="150">
          <cell r="B150" t="str">
            <v>LT COMMERCIAL (TWO PART TARIFF)</v>
          </cell>
          <cell r="C150">
            <v>0</v>
          </cell>
          <cell r="D150">
            <v>0</v>
          </cell>
        </row>
        <row r="151">
          <cell r="B151" t="str">
            <v>RAILWAYS</v>
          </cell>
          <cell r="C151">
            <v>3211</v>
          </cell>
          <cell r="D151">
            <v>3257</v>
          </cell>
        </row>
        <row r="152">
          <cell r="B152" t="str">
            <v>TOTAL (DIRECT CONSUMERS)</v>
          </cell>
          <cell r="C152">
            <v>9993</v>
          </cell>
          <cell r="D152">
            <v>9412</v>
          </cell>
        </row>
        <row r="153">
          <cell r="B153" t="str">
            <v>BEST</v>
          </cell>
          <cell r="C153">
            <v>13201</v>
          </cell>
          <cell r="D153">
            <v>13524</v>
          </cell>
        </row>
        <row r="154">
          <cell r="B154" t="str">
            <v>BSES (22 KV/ 33KV)</v>
          </cell>
          <cell r="C154">
            <v>13104</v>
          </cell>
          <cell r="D154">
            <v>13768</v>
          </cell>
        </row>
        <row r="155">
          <cell r="C155" t="str">
            <v>-----</v>
          </cell>
          <cell r="D155" t="str">
            <v>-----</v>
          </cell>
        </row>
        <row r="156">
          <cell r="B156" t="str">
            <v>TOTAL</v>
          </cell>
          <cell r="C156">
            <v>36298</v>
          </cell>
          <cell r="D156">
            <v>36704</v>
          </cell>
        </row>
        <row r="157">
          <cell r="C157" t="str">
            <v>-----</v>
          </cell>
          <cell r="D157" t="str">
            <v>-----</v>
          </cell>
        </row>
        <row r="159">
          <cell r="B159" t="str">
            <v>LESS 100 KV REBATE</v>
          </cell>
          <cell r="C159">
            <v>0</v>
          </cell>
          <cell r="D159">
            <v>0</v>
          </cell>
        </row>
        <row r="160">
          <cell r="B160" t="str">
            <v>ADD STANDBY CH. (FROM CAPTIVE UNIT CONSUMERS)</v>
          </cell>
          <cell r="C160">
            <v>0</v>
          </cell>
          <cell r="D160">
            <v>0</v>
          </cell>
        </row>
        <row r="161">
          <cell r="B161" t="str">
            <v>ADD ADDITIONAL MD CHARGES FROM BSES (22/33KV)</v>
          </cell>
          <cell r="C161">
            <v>0</v>
          </cell>
        </row>
        <row r="162">
          <cell r="B162" t="str">
            <v>BASIC REVENUE FROM MSEB FOR ENERGY ASSISTANCE</v>
          </cell>
          <cell r="C162">
            <v>6098</v>
          </cell>
          <cell r="D162">
            <v>4281</v>
          </cell>
        </row>
        <row r="164">
          <cell r="B164" t="str">
            <v>BASIC REVENUE FROM SALE TO OTHER STATE UTILITIES</v>
          </cell>
          <cell r="C164">
            <v>0</v>
          </cell>
          <cell r="D164">
            <v>2518</v>
          </cell>
        </row>
        <row r="166">
          <cell r="B166" t="str">
            <v>TOTAL BASIC REVENUE</v>
          </cell>
          <cell r="C166">
            <v>199916</v>
          </cell>
          <cell r="D166">
            <v>206792</v>
          </cell>
        </row>
        <row r="167">
          <cell r="C167" t="str">
            <v>======</v>
          </cell>
          <cell r="D167" t="str">
            <v>======</v>
          </cell>
        </row>
        <row r="169">
          <cell r="B169" t="str">
            <v>BASIC REVENUE RATE (PAISE/KWH)</v>
          </cell>
          <cell r="C169">
            <v>230.69</v>
          </cell>
          <cell r="D169">
            <v>232.22</v>
          </cell>
        </row>
        <row r="171">
          <cell r="A171">
            <v>2</v>
          </cell>
          <cell r="B171" t="str">
            <v>SURCHARGE (TAX ON SALE OF ELECTRICITY)</v>
          </cell>
          <cell r="C171">
            <v>10999</v>
          </cell>
          <cell r="D171">
            <v>11266</v>
          </cell>
        </row>
        <row r="172">
          <cell r="A172">
            <v>3</v>
          </cell>
          <cell r="B172" t="str">
            <v>BASIC + SURCHARGE</v>
          </cell>
          <cell r="C172">
            <v>210915</v>
          </cell>
          <cell r="D172">
            <v>218058</v>
          </cell>
        </row>
        <row r="174">
          <cell r="A174">
            <v>4</v>
          </cell>
          <cell r="B174" t="str">
            <v>FAC RECOVERABLE [E2+F2-I3]</v>
          </cell>
        </row>
        <row r="175">
          <cell r="B175" t="str">
            <v xml:space="preserve">      FROM TPC's CONSUMERS</v>
          </cell>
          <cell r="C175">
            <v>83289</v>
          </cell>
          <cell r="D175">
            <v>89805</v>
          </cell>
        </row>
        <row r="176">
          <cell r="B176" t="str">
            <v xml:space="preserve">      FROM MSEB FOR ENERGY ASSISTANCE</v>
          </cell>
          <cell r="C176">
            <v>5881</v>
          </cell>
          <cell r="D176">
            <v>4219</v>
          </cell>
        </row>
        <row r="177">
          <cell r="B177" t="str">
            <v xml:space="preserve">      FROM INTER STATE UTILITIES</v>
          </cell>
          <cell r="C177">
            <v>0</v>
          </cell>
          <cell r="D177">
            <v>2482</v>
          </cell>
        </row>
        <row r="178">
          <cell r="B178" t="str">
            <v xml:space="preserve">      TOTAL</v>
          </cell>
          <cell r="C178">
            <v>89170</v>
          </cell>
          <cell r="D178">
            <v>96506</v>
          </cell>
        </row>
        <row r="180">
          <cell r="B180" t="str">
            <v>FAC RATE (PAISE/KWH)</v>
          </cell>
          <cell r="C180">
            <v>118.66</v>
          </cell>
          <cell r="D180">
            <v>124.51299826689775</v>
          </cell>
        </row>
        <row r="181">
          <cell r="C181" t="str">
            <v>-----</v>
          </cell>
          <cell r="D181" t="str">
            <v>-----</v>
          </cell>
        </row>
        <row r="182">
          <cell r="A182">
            <v>5</v>
          </cell>
          <cell r="B182" t="str">
            <v>BASIC + SURCHARGE + FAC</v>
          </cell>
          <cell r="C182">
            <v>300085</v>
          </cell>
          <cell r="D182">
            <v>314564</v>
          </cell>
        </row>
        <row r="184">
          <cell r="A184">
            <v>6</v>
          </cell>
          <cell r="B184" t="str">
            <v>220 KV BSES INTERCONNECTION STANDBY</v>
          </cell>
        </row>
        <row r="185">
          <cell r="B185" t="str">
            <v xml:space="preserve">MD CHARGES </v>
          </cell>
          <cell r="C185">
            <v>19800</v>
          </cell>
          <cell r="D185">
            <v>19800</v>
          </cell>
        </row>
        <row r="187">
          <cell r="A187">
            <v>8</v>
          </cell>
          <cell r="B187" t="str">
            <v>TOTAL REVENUE (SUBJECT TO CASH DISCOUNT)</v>
          </cell>
          <cell r="C187">
            <v>319885</v>
          </cell>
          <cell r="D187">
            <v>334364</v>
          </cell>
        </row>
        <row r="189">
          <cell r="A189">
            <v>9</v>
          </cell>
          <cell r="B189" t="str">
            <v>LESS : CASH DISCOUNT</v>
          </cell>
          <cell r="C189">
            <v>0</v>
          </cell>
          <cell r="D189">
            <v>0</v>
          </cell>
        </row>
        <row r="190">
          <cell r="C190" t="str">
            <v>------</v>
          </cell>
          <cell r="D190" t="str">
            <v>------</v>
          </cell>
        </row>
        <row r="191">
          <cell r="A191">
            <v>10</v>
          </cell>
          <cell r="B191" t="str">
            <v>NET REVENUE</v>
          </cell>
          <cell r="C191">
            <v>319885</v>
          </cell>
          <cell r="D191">
            <v>314564</v>
          </cell>
        </row>
        <row r="193">
          <cell r="A193" t="str">
            <v>E.</v>
          </cell>
          <cell r="B193" t="str">
            <v>COST OF POWER PURCHASES (Rs.LAKHS)</v>
          </cell>
        </row>
        <row r="195">
          <cell r="A195">
            <v>1</v>
          </cell>
          <cell r="B195" t="str">
            <v>ENERGY CHARGES</v>
          </cell>
          <cell r="C195">
            <v>0</v>
          </cell>
          <cell r="D195">
            <v>0</v>
          </cell>
        </row>
        <row r="196">
          <cell r="A196">
            <v>2</v>
          </cell>
          <cell r="B196" t="str">
            <v>MD CHARGES</v>
          </cell>
          <cell r="C196">
            <v>39600</v>
          </cell>
          <cell r="D196">
            <v>39600</v>
          </cell>
        </row>
        <row r="197">
          <cell r="A197">
            <v>3</v>
          </cell>
          <cell r="B197" t="str">
            <v>TOTAL BASIC CHARGES</v>
          </cell>
          <cell r="C197">
            <v>39600</v>
          </cell>
          <cell r="D197">
            <v>39600</v>
          </cell>
        </row>
        <row r="198">
          <cell r="A198">
            <v>4</v>
          </cell>
          <cell r="B198" t="str">
            <v xml:space="preserve">FUEL ADJUSTMENT CHARGES </v>
          </cell>
          <cell r="C198">
            <v>0</v>
          </cell>
          <cell r="D198">
            <v>0</v>
          </cell>
        </row>
        <row r="199">
          <cell r="C199" t="str">
            <v>-----</v>
          </cell>
          <cell r="D199" t="str">
            <v>-----</v>
          </cell>
        </row>
        <row r="200">
          <cell r="A200">
            <v>5</v>
          </cell>
          <cell r="B200" t="str">
            <v>TOTAL</v>
          </cell>
          <cell r="C200">
            <v>39600</v>
          </cell>
          <cell r="D200">
            <v>39600</v>
          </cell>
        </row>
        <row r="201">
          <cell r="C201" t="str">
            <v>=====</v>
          </cell>
          <cell r="D201" t="str">
            <v>=====</v>
          </cell>
        </row>
        <row r="203">
          <cell r="A203" t="str">
            <v>F.</v>
          </cell>
          <cell r="B203" t="str">
            <v>COST OF FUEL (Rs.LAKHS)</v>
          </cell>
        </row>
        <row r="205">
          <cell r="A205">
            <v>1</v>
          </cell>
          <cell r="B205" t="str">
            <v>BASIC FUEL COST @ Rs.325 /MKCL</v>
          </cell>
          <cell r="C205">
            <v>65132</v>
          </cell>
          <cell r="D205">
            <v>68165</v>
          </cell>
        </row>
        <row r="206">
          <cell r="A206">
            <v>2</v>
          </cell>
          <cell r="B206" t="str">
            <v>FUEL ADJUSTMENT CHARGES</v>
          </cell>
          <cell r="C206">
            <v>89170</v>
          </cell>
          <cell r="D206">
            <v>96506</v>
          </cell>
        </row>
        <row r="207">
          <cell r="C207" t="str">
            <v>-----</v>
          </cell>
          <cell r="D207" t="str">
            <v>-----</v>
          </cell>
        </row>
        <row r="208">
          <cell r="A208">
            <v>3</v>
          </cell>
          <cell r="B208" t="str">
            <v>TOTAL FUEL COST</v>
          </cell>
          <cell r="C208">
            <v>154302</v>
          </cell>
          <cell r="D208">
            <v>164671</v>
          </cell>
        </row>
        <row r="209">
          <cell r="C209" t="str">
            <v>=====</v>
          </cell>
          <cell r="D209" t="str">
            <v>=====</v>
          </cell>
        </row>
        <row r="211">
          <cell r="A211" t="str">
            <v>G.</v>
          </cell>
          <cell r="B211" t="str">
            <v>TAX ON SALE OF ELECTRICITY (Rs.LAKHS)</v>
          </cell>
          <cell r="C211">
            <v>11760</v>
          </cell>
          <cell r="D211">
            <v>12061.5</v>
          </cell>
        </row>
        <row r="213">
          <cell r="A213" t="str">
            <v>H.</v>
          </cell>
          <cell r="B213" t="str">
            <v>WHEELING CHARGES RECOVERABLE FROM MSEB FOR WHEELING MSEB's POWER AT 22 KV</v>
          </cell>
          <cell r="C213">
            <v>805</v>
          </cell>
          <cell r="D213">
            <v>805</v>
          </cell>
        </row>
        <row r="215">
          <cell r="A215" t="str">
            <v>I.</v>
          </cell>
          <cell r="B215" t="str">
            <v>WHEELING CHARGES PAYABLE TO MSEB FOR WHEELING TPC's POWER AT 220 KV</v>
          </cell>
          <cell r="C215">
            <v>805</v>
          </cell>
          <cell r="D215">
            <v>805</v>
          </cell>
        </row>
        <row r="217">
          <cell r="A217" t="str">
            <v>L.</v>
          </cell>
          <cell r="B217" t="str">
            <v>THERMAL GENERATION (MUs)</v>
          </cell>
        </row>
        <row r="219">
          <cell r="B219" t="str">
            <v>UNIT NO.4</v>
          </cell>
          <cell r="D219">
            <v>873</v>
          </cell>
        </row>
        <row r="220">
          <cell r="B220" t="str">
            <v>UNIT NO.5</v>
          </cell>
          <cell r="D220">
            <v>3941</v>
          </cell>
        </row>
        <row r="221">
          <cell r="B221" t="str">
            <v>UNIT NO.6</v>
          </cell>
          <cell r="D221">
            <v>2872</v>
          </cell>
        </row>
        <row r="222">
          <cell r="B222" t="str">
            <v>UNIT NOS.7 AS GT</v>
          </cell>
          <cell r="D222">
            <v>0</v>
          </cell>
        </row>
        <row r="223">
          <cell r="B223" t="str">
            <v xml:space="preserve">UNIT NO.7 </v>
          </cell>
          <cell r="D223">
            <v>1146</v>
          </cell>
        </row>
        <row r="224">
          <cell r="D224" t="str">
            <v>-----</v>
          </cell>
        </row>
        <row r="225">
          <cell r="B225" t="str">
            <v>TOTAL THERMAL GENERATION</v>
          </cell>
          <cell r="D225">
            <v>8832</v>
          </cell>
        </row>
        <row r="226">
          <cell r="D226" t="str">
            <v>=====</v>
          </cell>
        </row>
        <row r="228">
          <cell r="A228" t="str">
            <v>M.</v>
          </cell>
          <cell r="B228" t="str">
            <v xml:space="preserve">FUEL CONSUMPTION </v>
          </cell>
        </row>
        <row r="230">
          <cell r="B230" t="str">
            <v xml:space="preserve"> 1) COAL (MTs/ANNUM)</v>
          </cell>
          <cell r="D230">
            <v>961100</v>
          </cell>
        </row>
        <row r="231">
          <cell r="B231" t="str">
            <v xml:space="preserve">        (MTs/DAY)</v>
          </cell>
          <cell r="D231">
            <v>2633</v>
          </cell>
        </row>
        <row r="233">
          <cell r="B233" t="str">
            <v xml:space="preserve"> 2) GAS  (MTs/ANNUM)</v>
          </cell>
          <cell r="D233">
            <v>191625</v>
          </cell>
        </row>
        <row r="234">
          <cell r="B234" t="str">
            <v xml:space="preserve">         (MTs/DAY)</v>
          </cell>
          <cell r="D234">
            <v>525</v>
          </cell>
        </row>
        <row r="236">
          <cell r="B236" t="str">
            <v xml:space="preserve"> 3) LSHS (MTs/ANNUM)</v>
          </cell>
          <cell r="D236">
            <v>1290887</v>
          </cell>
        </row>
        <row r="237">
          <cell r="B237" t="str">
            <v xml:space="preserve">         (MTs/DAY)</v>
          </cell>
          <cell r="D237">
            <v>3537</v>
          </cell>
        </row>
        <row r="239">
          <cell r="A239" t="str">
            <v>N.</v>
          </cell>
          <cell r="B239" t="str">
            <v>CORRESPONDING MKCAL</v>
          </cell>
        </row>
        <row r="241">
          <cell r="B241" t="str">
            <v xml:space="preserve"> 1) COAL</v>
          </cell>
          <cell r="D241">
            <v>4928350</v>
          </cell>
        </row>
        <row r="242">
          <cell r="B242" t="str">
            <v xml:space="preserve"> 2) GAS</v>
          </cell>
          <cell r="D242">
            <v>2491125</v>
          </cell>
        </row>
        <row r="243">
          <cell r="B243" t="str">
            <v xml:space="preserve"> 3) LSHS</v>
          </cell>
          <cell r="D243">
            <v>13554315</v>
          </cell>
        </row>
        <row r="244">
          <cell r="D244" t="str">
            <v>--------</v>
          </cell>
        </row>
        <row r="245">
          <cell r="B245" t="str">
            <v xml:space="preserve">    TOTAL</v>
          </cell>
          <cell r="D245">
            <v>20973790</v>
          </cell>
        </row>
        <row r="246">
          <cell r="D246" t="str">
            <v>========</v>
          </cell>
        </row>
        <row r="248">
          <cell r="A248" t="str">
            <v>O.</v>
          </cell>
          <cell r="B248" t="str">
            <v xml:space="preserve">COST OF FUEL (Rs.LAKHS) </v>
          </cell>
        </row>
        <row r="250">
          <cell r="B250" t="str">
            <v xml:space="preserve"> 1) COAL</v>
          </cell>
          <cell r="D250">
            <v>27632</v>
          </cell>
        </row>
        <row r="251">
          <cell r="B251" t="str">
            <v xml:space="preserve"> 2) GAS</v>
          </cell>
          <cell r="D251">
            <v>8048</v>
          </cell>
        </row>
        <row r="252">
          <cell r="B252" t="str">
            <v xml:space="preserve"> 3) LSHS</v>
          </cell>
          <cell r="D252">
            <v>125991</v>
          </cell>
        </row>
        <row r="253">
          <cell r="B253" t="str">
            <v xml:space="preserve"> 4) MINOR FUEL</v>
          </cell>
          <cell r="D253">
            <v>2592</v>
          </cell>
        </row>
        <row r="254">
          <cell r="B254" t="str">
            <v xml:space="preserve"> 5) HANDLING CHARGES</v>
          </cell>
          <cell r="D254">
            <v>408</v>
          </cell>
        </row>
        <row r="255">
          <cell r="D255" t="str">
            <v>-----</v>
          </cell>
        </row>
        <row r="256">
          <cell r="B256" t="str">
            <v xml:space="preserve">    TOTAL</v>
          </cell>
          <cell r="D256">
            <v>164671</v>
          </cell>
        </row>
        <row r="257">
          <cell r="D257" t="str">
            <v>=====</v>
          </cell>
        </row>
        <row r="259">
          <cell r="A259" t="str">
            <v>P.</v>
          </cell>
          <cell r="B259" t="str">
            <v>MKCAL REQUIREMENT</v>
          </cell>
        </row>
        <row r="261">
          <cell r="B261" t="str">
            <v xml:space="preserve"> 1) UNIT 4</v>
          </cell>
          <cell r="D261">
            <v>2269800</v>
          </cell>
        </row>
        <row r="262">
          <cell r="B262" t="str">
            <v xml:space="preserve"> 2) UNIT 5</v>
          </cell>
          <cell r="D262">
            <v>9576630</v>
          </cell>
        </row>
        <row r="263">
          <cell r="B263" t="str">
            <v xml:space="preserve"> 3) UNIT 6</v>
          </cell>
          <cell r="D263">
            <v>6835360</v>
          </cell>
        </row>
        <row r="264">
          <cell r="B264" t="str">
            <v xml:space="preserve"> 4) UNITS NO.7 AS GT</v>
          </cell>
          <cell r="D264">
            <v>0</v>
          </cell>
        </row>
        <row r="265">
          <cell r="B265" t="str">
            <v xml:space="preserve"> 5) UNIT NO.7</v>
          </cell>
          <cell r="D265">
            <v>2292000</v>
          </cell>
        </row>
        <row r="266">
          <cell r="D266" t="str">
            <v>-------</v>
          </cell>
        </row>
        <row r="267">
          <cell r="B267" t="str">
            <v xml:space="preserve">    TOTAL</v>
          </cell>
          <cell r="D267">
            <v>20973790</v>
          </cell>
        </row>
        <row r="268">
          <cell r="D268" t="str">
            <v>=======</v>
          </cell>
        </row>
        <row r="270">
          <cell r="A270" t="str">
            <v>ASSUMPTIONS :</v>
          </cell>
        </row>
        <row r="271">
          <cell r="B271" t="str">
            <v>PURCHASE MVA /MONTH</v>
          </cell>
          <cell r="D271">
            <v>550</v>
          </cell>
        </row>
        <row r="273">
          <cell r="B273" t="str">
            <v>MONTHLY FIXED WLG.CHRGS.RECOVERABLE(Rs.LACS)</v>
          </cell>
          <cell r="D273">
            <v>67.11</v>
          </cell>
        </row>
        <row r="274">
          <cell r="B274" t="str">
            <v>MONTHLY FIXED WLG.CHARGES PAYABLE(Rs.LACS)</v>
          </cell>
          <cell r="D274">
            <v>67.11</v>
          </cell>
        </row>
        <row r="276">
          <cell r="B276" t="str">
            <v>% OF (U#5 + U#6+U#7) POWER WHEELED</v>
          </cell>
          <cell r="D276">
            <v>26</v>
          </cell>
        </row>
        <row r="278">
          <cell r="B278" t="str">
            <v>ENERGY LOSS IN WHEELING MSEB'S POWER (%)</v>
          </cell>
          <cell r="D278">
            <v>3.09</v>
          </cell>
        </row>
        <row r="279">
          <cell r="B279" t="str">
            <v>ENERGY LOSS IN WHEELING TPC'S POWER (%)</v>
          </cell>
          <cell r="D279">
            <v>2</v>
          </cell>
        </row>
        <row r="281">
          <cell r="B281" t="str">
            <v>PURCHASE ENERGY RATE (P/U)</v>
          </cell>
          <cell r="D281">
            <v>290</v>
          </cell>
        </row>
        <row r="282">
          <cell r="B282" t="str">
            <v>PURCHASE FAC RATE (P/U)</v>
          </cell>
          <cell r="D282">
            <v>0</v>
          </cell>
        </row>
        <row r="283">
          <cell r="B283" t="str">
            <v>ENERGY RATE FOR SALE TO MSEB (P/U)</v>
          </cell>
          <cell r="D283">
            <v>125.9</v>
          </cell>
        </row>
        <row r="284">
          <cell r="B284" t="str">
            <v>ENERGY RATE FOR SALE TO INTER STATE  UTILITIES (P/U)</v>
          </cell>
          <cell r="D284">
            <v>125.9</v>
          </cell>
        </row>
        <row r="285">
          <cell r="B285" t="str">
            <v>FAC RATE FOR SALE TO INTER STATE  UTILITIES (P/U)</v>
          </cell>
          <cell r="D285">
            <v>124.1</v>
          </cell>
        </row>
        <row r="286">
          <cell r="B286" t="str">
            <v>FAC RATE FOR SALE TO MSEB (P/U)</v>
          </cell>
          <cell r="D286">
            <v>124.1</v>
          </cell>
        </row>
        <row r="287">
          <cell r="B287" t="str">
            <v>PURCHASE MD RATE (Rs./KVA/MONTH)</v>
          </cell>
          <cell r="D287">
            <v>600</v>
          </cell>
        </row>
        <row r="289">
          <cell r="B289" t="str">
            <v>FUEL COST (Rs./MT) :</v>
          </cell>
        </row>
        <row r="290">
          <cell r="B290" t="str">
            <v>COAL</v>
          </cell>
          <cell r="D290">
            <v>2875</v>
          </cell>
        </row>
        <row r="291">
          <cell r="B291" t="str">
            <v>GAS</v>
          </cell>
          <cell r="D291">
            <v>4200</v>
          </cell>
        </row>
        <row r="292">
          <cell r="B292" t="str">
            <v>LSHS/ LSWR</v>
          </cell>
          <cell r="D292">
            <v>9760</v>
          </cell>
        </row>
        <row r="293">
          <cell r="B293" t="str">
            <v>-</v>
          </cell>
          <cell r="C293" t="str">
            <v>-</v>
          </cell>
          <cell r="D293" t="str">
            <v>-</v>
          </cell>
        </row>
        <row r="295">
          <cell r="B295" t="str">
            <v>Tariff :</v>
          </cell>
        </row>
        <row r="296">
          <cell r="C296" t="str">
            <v>MD</v>
          </cell>
          <cell r="D296" t="str">
            <v>RKVAH</v>
          </cell>
        </row>
        <row r="297">
          <cell r="C297" t="str">
            <v>(Rs./KVA)</v>
          </cell>
          <cell r="D297" t="str">
            <v>(P./RKVAH)</v>
          </cell>
        </row>
        <row r="298">
          <cell r="B298" t="str">
            <v>TEXTILES</v>
          </cell>
          <cell r="C298">
            <v>170</v>
          </cell>
          <cell r="D298">
            <v>0</v>
          </cell>
        </row>
        <row r="299">
          <cell r="B299" t="str">
            <v>HT INDUSTRIES</v>
          </cell>
          <cell r="C299">
            <v>170</v>
          </cell>
          <cell r="D299">
            <v>0</v>
          </cell>
        </row>
        <row r="300">
          <cell r="B300" t="str">
            <v>HT COMMERCIAL</v>
          </cell>
          <cell r="C300">
            <v>170</v>
          </cell>
          <cell r="D300">
            <v>0</v>
          </cell>
        </row>
        <row r="301">
          <cell r="B301" t="str">
            <v>LT INDUSTRIES (TWO PART TARIFF)</v>
          </cell>
          <cell r="C301">
            <v>175</v>
          </cell>
          <cell r="D301">
            <v>0</v>
          </cell>
        </row>
        <row r="302">
          <cell r="B302" t="str">
            <v>LT COMMERCIAL (TWO PART TARIFF)</v>
          </cell>
          <cell r="C302">
            <v>175</v>
          </cell>
          <cell r="D302">
            <v>0</v>
          </cell>
        </row>
        <row r="303">
          <cell r="B303" t="str">
            <v>RAILWAYS</v>
          </cell>
          <cell r="C303">
            <v>170</v>
          </cell>
          <cell r="D303">
            <v>0</v>
          </cell>
        </row>
        <row r="304">
          <cell r="B304" t="str">
            <v>BEST</v>
          </cell>
          <cell r="C304">
            <v>170</v>
          </cell>
          <cell r="D304">
            <v>0</v>
          </cell>
        </row>
        <row r="305">
          <cell r="B305" t="str">
            <v>BSES (22/33 KV)</v>
          </cell>
          <cell r="C305">
            <v>200</v>
          </cell>
          <cell r="D305">
            <v>0</v>
          </cell>
        </row>
        <row r="306">
          <cell r="B306" t="str">
            <v>BSES (220 KV)</v>
          </cell>
          <cell r="D306">
            <v>0</v>
          </cell>
        </row>
        <row r="307">
          <cell r="B307" t="str">
            <v>MSEB 22 KV</v>
          </cell>
          <cell r="D307">
            <v>0</v>
          </cell>
        </row>
        <row r="308">
          <cell r="B308" t="str">
            <v>ENERGY RATE (P/KWH) :</v>
          </cell>
        </row>
        <row r="309">
          <cell r="B309" t="str">
            <v>TEXTILES</v>
          </cell>
          <cell r="C309">
            <v>197</v>
          </cell>
        </row>
        <row r="310">
          <cell r="B310" t="str">
            <v>HT INDUSTRIES</v>
          </cell>
          <cell r="C310">
            <v>197</v>
          </cell>
        </row>
        <row r="311">
          <cell r="B311" t="str">
            <v>HT COMMERCIAL</v>
          </cell>
          <cell r="C311">
            <v>197</v>
          </cell>
        </row>
        <row r="312">
          <cell r="B312" t="str">
            <v>LT INDUSTRIES (SINGLE PART TARIFF)</v>
          </cell>
          <cell r="C312">
            <v>272</v>
          </cell>
        </row>
        <row r="313">
          <cell r="B313" t="str">
            <v>LT INDUSTRIES (TWO PART TARIFF)</v>
          </cell>
          <cell r="C313">
            <v>202</v>
          </cell>
        </row>
        <row r="314">
          <cell r="B314" t="str">
            <v>LT COMMERCIAL (SINGLE PART TARIFF)</v>
          </cell>
          <cell r="C314">
            <v>272</v>
          </cell>
        </row>
        <row r="315">
          <cell r="B315" t="str">
            <v>LT COMMERCIAL (TWO PART TARIFF)</v>
          </cell>
          <cell r="C315">
            <v>202</v>
          </cell>
        </row>
        <row r="316">
          <cell r="B316" t="str">
            <v>RESIDENTIAL</v>
          </cell>
          <cell r="C316">
            <v>212.75</v>
          </cell>
        </row>
        <row r="317">
          <cell r="B317" t="str">
            <v>RAILWAYS</v>
          </cell>
          <cell r="C317">
            <v>197</v>
          </cell>
        </row>
        <row r="318">
          <cell r="B318" t="str">
            <v>BEST</v>
          </cell>
          <cell r="C318">
            <v>177</v>
          </cell>
        </row>
        <row r="319">
          <cell r="B319" t="str">
            <v>BSES</v>
          </cell>
          <cell r="C319">
            <v>177</v>
          </cell>
        </row>
        <row r="320">
          <cell r="B320" t="str">
            <v>BSES 220 KV</v>
          </cell>
          <cell r="C320">
            <v>209</v>
          </cell>
        </row>
        <row r="321">
          <cell r="B321" t="str">
            <v>BASIC COST OF FUEL (Rs./MKCL)</v>
          </cell>
          <cell r="C321">
            <v>325</v>
          </cell>
        </row>
        <row r="322">
          <cell r="B322" t="str">
            <v>-</v>
          </cell>
        </row>
        <row r="323">
          <cell r="B323" t="str">
            <v>CALORIFIC VALUES (MKCL/MT) :</v>
          </cell>
        </row>
        <row r="324">
          <cell r="B324" t="str">
            <v>COAL</v>
          </cell>
          <cell r="C324">
            <v>5.1278223000000001</v>
          </cell>
        </row>
        <row r="325">
          <cell r="B325" t="str">
            <v>GAS</v>
          </cell>
          <cell r="C325">
            <v>13</v>
          </cell>
        </row>
        <row r="326">
          <cell r="B326" t="str">
            <v>LSHS/ LSWR</v>
          </cell>
          <cell r="C326">
            <v>10.5</v>
          </cell>
        </row>
        <row r="328">
          <cell r="B328" t="str">
            <v>HEAT RATES &amp; AUXILIARY CONSUMPTION</v>
          </cell>
          <cell r="C328" t="str">
            <v>HEAT RATE</v>
          </cell>
          <cell r="D328" t="str">
            <v>AUX.CONS.</v>
          </cell>
        </row>
        <row r="329">
          <cell r="C329" t="str">
            <v>MKCL/MU</v>
          </cell>
          <cell r="D329" t="str">
            <v>(%)</v>
          </cell>
        </row>
        <row r="330">
          <cell r="B330" t="str">
            <v>------------------------------------</v>
          </cell>
          <cell r="C330" t="str">
            <v>-</v>
          </cell>
          <cell r="D330" t="str">
            <v>-</v>
          </cell>
        </row>
        <row r="332">
          <cell r="B332" t="str">
            <v>UNIT NO.4</v>
          </cell>
          <cell r="C332">
            <v>2600</v>
          </cell>
          <cell r="D332">
            <v>10</v>
          </cell>
        </row>
        <row r="333">
          <cell r="B333" t="str">
            <v>UNIT NO.5</v>
          </cell>
          <cell r="C333">
            <v>2430</v>
          </cell>
          <cell r="D333">
            <v>5</v>
          </cell>
        </row>
        <row r="334">
          <cell r="B334" t="str">
            <v>UNIT NO.6</v>
          </cell>
          <cell r="C334">
            <v>2380</v>
          </cell>
          <cell r="D334">
            <v>4</v>
          </cell>
        </row>
        <row r="335">
          <cell r="B335" t="str">
            <v>UNIT NO.7 AS GT</v>
          </cell>
          <cell r="C335">
            <v>2850</v>
          </cell>
          <cell r="D335">
            <v>2.1</v>
          </cell>
        </row>
        <row r="336">
          <cell r="B336" t="str">
            <v>UNIT NO.7</v>
          </cell>
          <cell r="C336">
            <v>2000</v>
          </cell>
          <cell r="D336">
            <v>2</v>
          </cell>
        </row>
        <row r="337">
          <cell r="B337" t="str">
            <v>HYDRO</v>
          </cell>
          <cell r="D337">
            <v>0.5</v>
          </cell>
        </row>
        <row r="339">
          <cell r="B339" t="str">
            <v>TAXABLE SALES</v>
          </cell>
          <cell r="C339">
            <v>91</v>
          </cell>
          <cell r="D339" t="str">
            <v>%</v>
          </cell>
        </row>
        <row r="340">
          <cell r="B340" t="str">
            <v xml:space="preserve">TAX ON  SALE RATE </v>
          </cell>
          <cell r="C340">
            <v>15</v>
          </cell>
          <cell r="D340" t="str">
            <v>(P/KWH)</v>
          </cell>
        </row>
        <row r="342">
          <cell r="B342" t="str">
            <v>T T &amp; D LOSSES</v>
          </cell>
          <cell r="C342">
            <v>2.2999999999999998</v>
          </cell>
          <cell r="D342" t="str">
            <v>%</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Dailysource"/>
      <sheetName val="Chart2"/>
      <sheetName val="Sheet2"/>
      <sheetName val="local-Rer"/>
      <sheetName val="IOCL Chart"/>
      <sheetName val="IOCL"/>
      <sheetName val="daily flash"/>
      <sheetName val="Chart3"/>
      <sheetName val="LSHS base"/>
      <sheetName val="Sheet1"/>
      <sheetName val="ED-LSHS Chart"/>
      <sheetName val="LSHS Data"/>
      <sheetName val="Chart Price trend"/>
      <sheetName val="Chart % Change"/>
      <sheetName val="LSHS Prices"/>
      <sheetName val="Sheet3"/>
      <sheetName val="Sheet4"/>
      <sheetName val="CE"/>
    </sheetNames>
    <sheetDataSet>
      <sheetData sheetId="0" refreshError="1"/>
      <sheetData sheetId="1" refreshError="1">
        <row r="2">
          <cell r="B2" t="str">
            <v>Dates</v>
          </cell>
          <cell r="C2" t="str">
            <v>Argus</v>
          </cell>
          <cell r="D2" t="str">
            <v>180 CST</v>
          </cell>
          <cell r="E2" t="str">
            <v>Brent</v>
          </cell>
          <cell r="F2" t="str">
            <v>Argus FOB Prem</v>
          </cell>
          <cell r="G2" t="str">
            <v>180 CST</v>
          </cell>
          <cell r="H2" t="str">
            <v>180 CST-AG</v>
          </cell>
        </row>
        <row r="3">
          <cell r="B3">
            <v>37669</v>
          </cell>
          <cell r="C3">
            <v>28.6</v>
          </cell>
          <cell r="E3">
            <v>33.44</v>
          </cell>
          <cell r="F3">
            <v>0.8</v>
          </cell>
        </row>
        <row r="4">
          <cell r="B4">
            <v>37670</v>
          </cell>
          <cell r="C4">
            <v>28.6</v>
          </cell>
          <cell r="E4">
            <v>32.35</v>
          </cell>
          <cell r="F4">
            <v>0.9</v>
          </cell>
        </row>
        <row r="5">
          <cell r="B5">
            <v>37671</v>
          </cell>
          <cell r="C5">
            <v>28.4</v>
          </cell>
          <cell r="D5">
            <v>28.535714285714285</v>
          </cell>
          <cell r="E5">
            <v>33.21</v>
          </cell>
          <cell r="F5">
            <v>0.8</v>
          </cell>
        </row>
        <row r="6">
          <cell r="B6">
            <v>37672</v>
          </cell>
          <cell r="C6">
            <v>28.3</v>
          </cell>
          <cell r="D6">
            <v>28.107142857142858</v>
          </cell>
          <cell r="E6">
            <v>33.21</v>
          </cell>
          <cell r="F6">
            <v>0.6</v>
          </cell>
        </row>
        <row r="7">
          <cell r="B7">
            <v>37673</v>
          </cell>
          <cell r="C7">
            <v>28.3</v>
          </cell>
          <cell r="D7">
            <v>27.785714285714285</v>
          </cell>
          <cell r="E7">
            <v>31.7</v>
          </cell>
          <cell r="F7">
            <v>0.6</v>
          </cell>
        </row>
        <row r="8">
          <cell r="B8">
            <v>37676</v>
          </cell>
          <cell r="C8">
            <v>28.3</v>
          </cell>
          <cell r="D8">
            <v>28.464285714285715</v>
          </cell>
          <cell r="E8">
            <v>32.770000000000003</v>
          </cell>
          <cell r="F8">
            <v>0.6</v>
          </cell>
        </row>
        <row r="9">
          <cell r="B9">
            <v>37677</v>
          </cell>
          <cell r="C9">
            <v>28.6</v>
          </cell>
          <cell r="E9">
            <v>33.39</v>
          </cell>
          <cell r="F9">
            <v>0.8</v>
          </cell>
        </row>
        <row r="10">
          <cell r="B10">
            <v>37678</v>
          </cell>
          <cell r="C10">
            <v>28.8</v>
          </cell>
          <cell r="D10">
            <v>28.035714285714285</v>
          </cell>
          <cell r="E10">
            <v>33.01</v>
          </cell>
          <cell r="F10">
            <v>0.9</v>
          </cell>
        </row>
        <row r="11">
          <cell r="B11">
            <v>37679</v>
          </cell>
          <cell r="C11">
            <v>28.8</v>
          </cell>
          <cell r="D11">
            <v>28.357142857142858</v>
          </cell>
          <cell r="E11">
            <v>33.729999999999997</v>
          </cell>
          <cell r="F11">
            <v>1.2</v>
          </cell>
        </row>
        <row r="12">
          <cell r="B12">
            <v>37680</v>
          </cell>
          <cell r="C12">
            <v>28.5</v>
          </cell>
          <cell r="D12">
            <v>27.857142857142858</v>
          </cell>
          <cell r="E12">
            <v>33.880000000000003</v>
          </cell>
          <cell r="F12">
            <v>1.5</v>
          </cell>
        </row>
        <row r="13">
          <cell r="B13">
            <v>37683</v>
          </cell>
          <cell r="C13">
            <v>28.1</v>
          </cell>
          <cell r="D13">
            <v>27.071428571428573</v>
          </cell>
          <cell r="E13">
            <v>34</v>
          </cell>
          <cell r="F13">
            <v>1.7</v>
          </cell>
        </row>
        <row r="14">
          <cell r="B14">
            <v>37684</v>
          </cell>
          <cell r="C14">
            <v>28.1</v>
          </cell>
          <cell r="D14">
            <v>25.714285714285715</v>
          </cell>
          <cell r="E14">
            <v>33.32</v>
          </cell>
          <cell r="F14">
            <v>1.7</v>
          </cell>
        </row>
        <row r="15">
          <cell r="B15">
            <v>37685</v>
          </cell>
          <cell r="C15">
            <v>28.5</v>
          </cell>
          <cell r="D15">
            <v>25.892857142857142</v>
          </cell>
          <cell r="E15">
            <v>34.08</v>
          </cell>
          <cell r="F15">
            <v>1.7</v>
          </cell>
        </row>
        <row r="16">
          <cell r="B16">
            <v>37686</v>
          </cell>
          <cell r="C16">
            <v>28.8</v>
          </cell>
          <cell r="D16">
            <v>26.107142857142858</v>
          </cell>
          <cell r="E16">
            <v>33.99</v>
          </cell>
          <cell r="F16">
            <v>1.7</v>
          </cell>
        </row>
        <row r="17">
          <cell r="B17">
            <v>37687</v>
          </cell>
          <cell r="C17">
            <v>28.8</v>
          </cell>
          <cell r="D17">
            <v>26.678571428571427</v>
          </cell>
          <cell r="E17">
            <v>34.67</v>
          </cell>
          <cell r="F17">
            <v>1.9</v>
          </cell>
        </row>
        <row r="18">
          <cell r="B18">
            <v>37690</v>
          </cell>
          <cell r="C18">
            <v>29</v>
          </cell>
          <cell r="D18">
            <v>27</v>
          </cell>
          <cell r="E18">
            <v>35.04</v>
          </cell>
          <cell r="F18">
            <v>1.9</v>
          </cell>
        </row>
        <row r="19">
          <cell r="B19">
            <v>37691</v>
          </cell>
          <cell r="C19">
            <v>29</v>
          </cell>
          <cell r="D19">
            <v>27.142857142857142</v>
          </cell>
          <cell r="E19">
            <v>34.89</v>
          </cell>
          <cell r="F19">
            <v>1.9</v>
          </cell>
        </row>
        <row r="20">
          <cell r="B20">
            <v>37692</v>
          </cell>
          <cell r="C20">
            <v>28.8</v>
          </cell>
          <cell r="E20">
            <v>33.82</v>
          </cell>
          <cell r="F20">
            <v>1.9</v>
          </cell>
          <cell r="G20">
            <v>24.792857142857144</v>
          </cell>
          <cell r="H20">
            <v>24.792857142857144</v>
          </cell>
        </row>
        <row r="21">
          <cell r="B21">
            <v>37693</v>
          </cell>
          <cell r="C21">
            <v>28.6</v>
          </cell>
          <cell r="D21">
            <v>27.214285714285715</v>
          </cell>
          <cell r="E21">
            <v>34.01</v>
          </cell>
          <cell r="F21">
            <v>1.9</v>
          </cell>
          <cell r="G21">
            <v>25.25714285714286</v>
          </cell>
          <cell r="H21">
            <v>25.25714285714286</v>
          </cell>
        </row>
        <row r="22">
          <cell r="B22">
            <v>37694</v>
          </cell>
          <cell r="C22">
            <v>28.4</v>
          </cell>
          <cell r="E22">
            <v>32.44</v>
          </cell>
          <cell r="F22">
            <v>2</v>
          </cell>
          <cell r="G22">
            <v>24.485714285714288</v>
          </cell>
          <cell r="H22">
            <v>24.485714285714288</v>
          </cell>
        </row>
        <row r="23">
          <cell r="B23">
            <v>37697</v>
          </cell>
          <cell r="C23">
            <v>28</v>
          </cell>
          <cell r="D23">
            <v>26.357142857142858</v>
          </cell>
          <cell r="E23">
            <v>32.520000000000003</v>
          </cell>
          <cell r="F23">
            <v>2</v>
          </cell>
          <cell r="G23">
            <v>24.235714285714288</v>
          </cell>
          <cell r="H23">
            <v>24.235714285714288</v>
          </cell>
        </row>
        <row r="24">
          <cell r="B24">
            <v>37698</v>
          </cell>
          <cell r="C24">
            <v>27</v>
          </cell>
          <cell r="E24">
            <v>32</v>
          </cell>
          <cell r="F24">
            <v>1.9</v>
          </cell>
          <cell r="G24">
            <v>21.985714285714288</v>
          </cell>
          <cell r="H24">
            <v>21.985714285714288</v>
          </cell>
        </row>
        <row r="25">
          <cell r="B25">
            <v>37699</v>
          </cell>
          <cell r="C25">
            <v>26.5</v>
          </cell>
          <cell r="E25">
            <v>28.74</v>
          </cell>
          <cell r="F25">
            <v>1.9</v>
          </cell>
          <cell r="G25">
            <v>21.771428571428572</v>
          </cell>
          <cell r="H25">
            <v>21.771428571428572</v>
          </cell>
        </row>
        <row r="26">
          <cell r="B26">
            <v>37700</v>
          </cell>
          <cell r="C26">
            <v>25.8</v>
          </cell>
          <cell r="E26">
            <v>28.32</v>
          </cell>
          <cell r="F26">
            <v>1.9</v>
          </cell>
          <cell r="G26">
            <v>21.12857142857143</v>
          </cell>
          <cell r="H26">
            <v>21.12857142857143</v>
          </cell>
        </row>
        <row r="27">
          <cell r="B27">
            <v>37701</v>
          </cell>
          <cell r="C27">
            <v>24.8</v>
          </cell>
          <cell r="E27">
            <v>26.84</v>
          </cell>
          <cell r="F27">
            <v>1.9</v>
          </cell>
          <cell r="G27">
            <v>20.542857142857144</v>
          </cell>
          <cell r="H27">
            <v>20.542857142857144</v>
          </cell>
        </row>
        <row r="28">
          <cell r="B28">
            <v>37704</v>
          </cell>
          <cell r="C28">
            <v>24</v>
          </cell>
          <cell r="D28">
            <v>22.285714285714285</v>
          </cell>
          <cell r="E28">
            <v>24.82</v>
          </cell>
          <cell r="F28">
            <v>1.9</v>
          </cell>
          <cell r="G28">
            <v>21.00714285714286</v>
          </cell>
          <cell r="H28">
            <v>21.00714285714286</v>
          </cell>
        </row>
        <row r="29">
          <cell r="B29">
            <v>37705</v>
          </cell>
          <cell r="C29">
            <v>23.8</v>
          </cell>
          <cell r="D29">
            <v>23.071428571428573</v>
          </cell>
          <cell r="E29">
            <v>26.31</v>
          </cell>
          <cell r="F29">
            <v>1.9</v>
          </cell>
          <cell r="G29">
            <v>21.692857142857143</v>
          </cell>
          <cell r="H29">
            <v>21.692857142857143</v>
          </cell>
        </row>
        <row r="30">
          <cell r="B30">
            <v>37706</v>
          </cell>
          <cell r="E30">
            <v>26.78</v>
          </cell>
        </row>
        <row r="31">
          <cell r="B31">
            <v>37707</v>
          </cell>
          <cell r="C31">
            <v>24.5</v>
          </cell>
          <cell r="D31">
            <v>23.25</v>
          </cell>
          <cell r="E31">
            <v>25.93</v>
          </cell>
          <cell r="F31">
            <v>1.8</v>
          </cell>
          <cell r="G31">
            <v>21.692857142857143</v>
          </cell>
          <cell r="H31">
            <v>21.692857142857143</v>
          </cell>
        </row>
        <row r="32">
          <cell r="B32">
            <v>37708</v>
          </cell>
          <cell r="C32">
            <v>25.5</v>
          </cell>
          <cell r="D32">
            <v>24.214285714285715</v>
          </cell>
          <cell r="E32">
            <v>28.13</v>
          </cell>
          <cell r="F32">
            <v>2.2000000000000002</v>
          </cell>
          <cell r="G32">
            <v>22.671428571428571</v>
          </cell>
          <cell r="H32">
            <v>22.671428571428571</v>
          </cell>
        </row>
        <row r="33">
          <cell r="B33">
            <v>37711</v>
          </cell>
          <cell r="C33">
            <v>25.5</v>
          </cell>
          <cell r="D33">
            <v>24.464285714285715</v>
          </cell>
          <cell r="E33">
            <v>27.29</v>
          </cell>
          <cell r="F33">
            <v>2.2000000000000002</v>
          </cell>
          <cell r="G33">
            <v>22.24285714285714</v>
          </cell>
          <cell r="H33">
            <v>22.24285714285714</v>
          </cell>
        </row>
        <row r="34">
          <cell r="B34">
            <v>37712</v>
          </cell>
          <cell r="C34">
            <v>25.7</v>
          </cell>
          <cell r="D34">
            <v>25</v>
          </cell>
          <cell r="E34">
            <v>28.09</v>
          </cell>
          <cell r="F34">
            <v>2</v>
          </cell>
          <cell r="G34">
            <v>21.171428571428571</v>
          </cell>
          <cell r="H34">
            <v>21.171428571428571</v>
          </cell>
        </row>
        <row r="35">
          <cell r="B35">
            <v>37713</v>
          </cell>
          <cell r="C35">
            <v>24.2</v>
          </cell>
          <cell r="F35">
            <v>2</v>
          </cell>
          <cell r="G35">
            <v>20.385714285714283</v>
          </cell>
          <cell r="H35">
            <v>20.385714285714283</v>
          </cell>
        </row>
        <row r="36">
          <cell r="B36">
            <v>37714</v>
          </cell>
          <cell r="C36">
            <v>24</v>
          </cell>
          <cell r="E36">
            <v>25.37</v>
          </cell>
          <cell r="F36">
            <v>2.5</v>
          </cell>
          <cell r="G36">
            <v>19.671428571428571</v>
          </cell>
          <cell r="H36">
            <v>19.671428571428571</v>
          </cell>
        </row>
        <row r="37">
          <cell r="B37">
            <v>37715</v>
          </cell>
          <cell r="C37">
            <v>23.6</v>
          </cell>
          <cell r="D37">
            <v>22.321428571428573</v>
          </cell>
          <cell r="E37">
            <v>26.08</v>
          </cell>
          <cell r="F37">
            <v>2.5</v>
          </cell>
          <cell r="G37">
            <v>19.614285714285717</v>
          </cell>
          <cell r="H37">
            <v>19.614285714285717</v>
          </cell>
        </row>
        <row r="38">
          <cell r="B38">
            <v>37718</v>
          </cell>
          <cell r="C38">
            <v>22.7</v>
          </cell>
          <cell r="D38">
            <v>20.68</v>
          </cell>
          <cell r="E38">
            <v>24.91</v>
          </cell>
          <cell r="F38">
            <v>2.8</v>
          </cell>
          <cell r="G38">
            <v>18.114285714285714</v>
          </cell>
          <cell r="H38">
            <v>18.114285714285714</v>
          </cell>
        </row>
        <row r="39">
          <cell r="B39">
            <v>37720</v>
          </cell>
          <cell r="C39">
            <v>23.3</v>
          </cell>
          <cell r="D39">
            <v>21.714285714285715</v>
          </cell>
          <cell r="E39">
            <v>25.43</v>
          </cell>
          <cell r="F39">
            <v>3</v>
          </cell>
          <cell r="G39">
            <v>19.307142857142857</v>
          </cell>
          <cell r="H39">
            <v>19.307142857142857</v>
          </cell>
        </row>
        <row r="40">
          <cell r="B40">
            <v>37721</v>
          </cell>
          <cell r="C40">
            <v>23.8</v>
          </cell>
          <cell r="E40">
            <v>25.35</v>
          </cell>
          <cell r="F40">
            <v>3</v>
          </cell>
          <cell r="G40">
            <v>20.021428571428572</v>
          </cell>
          <cell r="H40">
            <v>20.021428571428572</v>
          </cell>
        </row>
        <row r="41">
          <cell r="B41">
            <v>37722</v>
          </cell>
          <cell r="D41">
            <v>21.535714285714285</v>
          </cell>
        </row>
        <row r="42">
          <cell r="B42">
            <v>37725</v>
          </cell>
          <cell r="C42">
            <v>23.3</v>
          </cell>
          <cell r="D42">
            <v>21.607142857142858</v>
          </cell>
          <cell r="E42">
            <v>24.26</v>
          </cell>
          <cell r="F42">
            <v>3</v>
          </cell>
        </row>
        <row r="43">
          <cell r="B43">
            <v>37726</v>
          </cell>
          <cell r="C43">
            <v>23.2</v>
          </cell>
          <cell r="D43">
            <v>21.535714285714285</v>
          </cell>
          <cell r="F43">
            <v>3</v>
          </cell>
          <cell r="G43">
            <v>19</v>
          </cell>
          <cell r="H43">
            <v>19</v>
          </cell>
        </row>
        <row r="44">
          <cell r="B44">
            <v>37727</v>
          </cell>
          <cell r="C44">
            <v>23.5</v>
          </cell>
          <cell r="F44">
            <v>3</v>
          </cell>
          <cell r="G44">
            <v>19.285714285714285</v>
          </cell>
          <cell r="H44">
            <v>19.285714285714285</v>
          </cell>
        </row>
        <row r="45">
          <cell r="B45">
            <v>37728</v>
          </cell>
          <cell r="C45">
            <v>23.9</v>
          </cell>
          <cell r="E45">
            <v>24.98</v>
          </cell>
          <cell r="F45">
            <v>3</v>
          </cell>
          <cell r="G45">
            <v>20.12857142857143</v>
          </cell>
          <cell r="H45">
            <v>20.12857142857143</v>
          </cell>
        </row>
        <row r="46">
          <cell r="B46">
            <v>37732</v>
          </cell>
          <cell r="C46">
            <v>23.9</v>
          </cell>
          <cell r="D46">
            <v>21.928571428571427</v>
          </cell>
          <cell r="E46">
            <v>25.4</v>
          </cell>
          <cell r="F46">
            <v>3</v>
          </cell>
          <cell r="G46">
            <v>20.771428571428572</v>
          </cell>
          <cell r="H46">
            <v>20.771428571428572</v>
          </cell>
        </row>
        <row r="47">
          <cell r="B47">
            <v>37733</v>
          </cell>
          <cell r="C47">
            <v>23.9</v>
          </cell>
          <cell r="D47">
            <v>22.142857142857142</v>
          </cell>
          <cell r="E47">
            <v>25.84</v>
          </cell>
          <cell r="F47">
            <v>3</v>
          </cell>
          <cell r="G47">
            <v>20.771428571428572</v>
          </cell>
          <cell r="H47">
            <v>20.771428571428572</v>
          </cell>
        </row>
        <row r="48">
          <cell r="B48">
            <v>37734</v>
          </cell>
          <cell r="C48">
            <v>23.6</v>
          </cell>
          <cell r="D48">
            <v>21.892857142857142</v>
          </cell>
          <cell r="E48">
            <v>25.8</v>
          </cell>
          <cell r="F48">
            <v>3</v>
          </cell>
          <cell r="G48">
            <v>20.7</v>
          </cell>
          <cell r="H48">
            <v>20.7</v>
          </cell>
        </row>
        <row r="49">
          <cell r="B49">
            <v>37735</v>
          </cell>
          <cell r="C49">
            <v>23.2</v>
          </cell>
          <cell r="D49">
            <v>21.357142857142858</v>
          </cell>
          <cell r="E49">
            <v>24.44</v>
          </cell>
          <cell r="F49">
            <v>3</v>
          </cell>
          <cell r="G49">
            <v>20.592857142857145</v>
          </cell>
          <cell r="H49">
            <v>20.592857142857145</v>
          </cell>
        </row>
        <row r="50">
          <cell r="B50">
            <v>37736</v>
          </cell>
          <cell r="C50">
            <v>23.2</v>
          </cell>
          <cell r="D50">
            <v>21.857142857142858</v>
          </cell>
          <cell r="F50">
            <v>3</v>
          </cell>
          <cell r="G50">
            <v>21.071428571428573</v>
          </cell>
          <cell r="H50">
            <v>21.071428571428573</v>
          </cell>
        </row>
        <row r="51">
          <cell r="B51">
            <v>37739</v>
          </cell>
          <cell r="D51">
            <v>21.785714285714285</v>
          </cell>
          <cell r="E51">
            <v>24.29</v>
          </cell>
          <cell r="G51">
            <v>21.285714285714285</v>
          </cell>
          <cell r="H51">
            <v>21.285714285714285</v>
          </cell>
        </row>
        <row r="52">
          <cell r="B52">
            <v>37740</v>
          </cell>
          <cell r="C52">
            <v>22.6</v>
          </cell>
          <cell r="D52">
            <v>21.607142857142858</v>
          </cell>
          <cell r="E52">
            <v>23.41</v>
          </cell>
          <cell r="F52">
            <v>3</v>
          </cell>
          <cell r="G52">
            <v>20.857142857142858</v>
          </cell>
          <cell r="H52">
            <v>20.857142857142858</v>
          </cell>
        </row>
        <row r="53">
          <cell r="B53">
            <v>37741</v>
          </cell>
          <cell r="C53">
            <v>22.9</v>
          </cell>
          <cell r="D53">
            <v>21.571428571428573</v>
          </cell>
          <cell r="E53">
            <v>22.97</v>
          </cell>
          <cell r="G53">
            <v>21</v>
          </cell>
          <cell r="H53">
            <v>21</v>
          </cell>
        </row>
        <row r="54">
          <cell r="B54">
            <v>37743</v>
          </cell>
          <cell r="C54">
            <v>23.3</v>
          </cell>
          <cell r="D54">
            <v>22.428571428571399</v>
          </cell>
          <cell r="F54">
            <v>3</v>
          </cell>
          <cell r="G54">
            <v>21.74285714285714</v>
          </cell>
          <cell r="H54">
            <v>21.74285714285714</v>
          </cell>
        </row>
        <row r="55">
          <cell r="B55">
            <v>37746</v>
          </cell>
          <cell r="C55">
            <v>23.3</v>
          </cell>
          <cell r="D55">
            <v>22.214285714285715</v>
          </cell>
          <cell r="E55">
            <v>23.12</v>
          </cell>
          <cell r="F55">
            <v>3</v>
          </cell>
          <cell r="G55">
            <v>21.599999999999998</v>
          </cell>
          <cell r="H55">
            <v>21.599999999999998</v>
          </cell>
        </row>
        <row r="56">
          <cell r="B56">
            <v>37747</v>
          </cell>
          <cell r="C56">
            <v>23.3</v>
          </cell>
          <cell r="D56">
            <v>23</v>
          </cell>
          <cell r="E56">
            <v>23.39</v>
          </cell>
          <cell r="F56">
            <v>2.8</v>
          </cell>
          <cell r="G56">
            <v>21.599999999999998</v>
          </cell>
          <cell r="H56">
            <v>21.599999999999998</v>
          </cell>
        </row>
        <row r="57">
          <cell r="B57">
            <v>37748</v>
          </cell>
          <cell r="C57">
            <v>23</v>
          </cell>
          <cell r="D57">
            <v>22.714285714285715</v>
          </cell>
          <cell r="E57">
            <v>23.69</v>
          </cell>
          <cell r="F57">
            <v>2.8</v>
          </cell>
          <cell r="G57">
            <v>21.421428571428571</v>
          </cell>
          <cell r="H57">
            <v>21.599999999999998</v>
          </cell>
        </row>
        <row r="58">
          <cell r="B58">
            <v>37749</v>
          </cell>
          <cell r="C58">
            <v>22.8</v>
          </cell>
          <cell r="D58">
            <v>22.928571428571427</v>
          </cell>
          <cell r="E58">
            <v>23.85</v>
          </cell>
          <cell r="F58">
            <v>2.8</v>
          </cell>
          <cell r="G58">
            <v>21.50714285714286</v>
          </cell>
          <cell r="H58">
            <v>21.50714285714286</v>
          </cell>
        </row>
        <row r="59">
          <cell r="B59">
            <v>37750</v>
          </cell>
          <cell r="C59">
            <v>23</v>
          </cell>
          <cell r="D59">
            <v>22.607142857142858</v>
          </cell>
          <cell r="E59">
            <v>24.75</v>
          </cell>
          <cell r="F59">
            <v>2.5</v>
          </cell>
          <cell r="G59">
            <v>21.292857142857144</v>
          </cell>
          <cell r="H59">
            <v>21.292857142857144</v>
          </cell>
        </row>
        <row r="60">
          <cell r="B60">
            <v>37753</v>
          </cell>
          <cell r="C60">
            <v>23</v>
          </cell>
          <cell r="D60">
            <v>23</v>
          </cell>
          <cell r="E60">
            <v>24.74</v>
          </cell>
          <cell r="F60">
            <v>2.15</v>
          </cell>
          <cell r="G60">
            <v>20.50714285714286</v>
          </cell>
          <cell r="H60">
            <v>20.50714285714286</v>
          </cell>
        </row>
        <row r="61">
          <cell r="B61">
            <v>37754</v>
          </cell>
          <cell r="C61">
            <v>22.8</v>
          </cell>
          <cell r="D61">
            <v>22.571428571428573</v>
          </cell>
          <cell r="E61">
            <v>25.3</v>
          </cell>
          <cell r="F61">
            <v>2</v>
          </cell>
        </row>
        <row r="62">
          <cell r="B62">
            <v>37755</v>
          </cell>
          <cell r="D62">
            <v>21.571428571428573</v>
          </cell>
          <cell r="E62">
            <v>26.28</v>
          </cell>
        </row>
        <row r="63">
          <cell r="B63">
            <v>37756</v>
          </cell>
          <cell r="E63">
            <v>26.8</v>
          </cell>
        </row>
        <row r="64">
          <cell r="B64">
            <v>37757</v>
          </cell>
          <cell r="C64">
            <v>23.3</v>
          </cell>
          <cell r="D64">
            <v>21.642857142857142</v>
          </cell>
          <cell r="E64">
            <v>26.36</v>
          </cell>
          <cell r="F64">
            <v>1.7</v>
          </cell>
          <cell r="G64">
            <v>20.764285714285712</v>
          </cell>
          <cell r="H64">
            <v>20.764285714285712</v>
          </cell>
        </row>
        <row r="65">
          <cell r="B65">
            <v>37760</v>
          </cell>
          <cell r="C65">
            <v>23.5</v>
          </cell>
          <cell r="D65">
            <v>21.607142857142858</v>
          </cell>
          <cell r="E65">
            <v>27.22</v>
          </cell>
          <cell r="F65">
            <v>1.5</v>
          </cell>
          <cell r="G65">
            <v>20.907142857142855</v>
          </cell>
          <cell r="H65">
            <v>20.907142857142855</v>
          </cell>
        </row>
        <row r="66">
          <cell r="B66">
            <v>37761</v>
          </cell>
          <cell r="C66">
            <v>23.5</v>
          </cell>
          <cell r="D66">
            <v>21.214285714285715</v>
          </cell>
          <cell r="E66">
            <v>27.323699999999999</v>
          </cell>
          <cell r="F66">
            <v>1.5</v>
          </cell>
          <cell r="G66">
            <v>20.478571428571428</v>
          </cell>
          <cell r="H66">
            <v>20.478571428571428</v>
          </cell>
        </row>
        <row r="67">
          <cell r="B67">
            <v>37762</v>
          </cell>
          <cell r="C67">
            <v>23.2</v>
          </cell>
          <cell r="D67">
            <v>21.321428571428573</v>
          </cell>
          <cell r="F67">
            <v>1.4</v>
          </cell>
          <cell r="G67">
            <v>20.478571428571428</v>
          </cell>
          <cell r="H67">
            <v>20.478571428571428</v>
          </cell>
        </row>
        <row r="68">
          <cell r="B68">
            <v>37763</v>
          </cell>
          <cell r="C68">
            <v>23.3</v>
          </cell>
          <cell r="D68">
            <v>21.535714285714285</v>
          </cell>
          <cell r="F68">
            <v>1.3</v>
          </cell>
          <cell r="G68">
            <v>20.835714285714285</v>
          </cell>
          <cell r="H68">
            <v>20.835714285714285</v>
          </cell>
        </row>
        <row r="69">
          <cell r="B69">
            <v>37764</v>
          </cell>
          <cell r="C69">
            <v>23.5</v>
          </cell>
          <cell r="D69">
            <v>21.678571428571427</v>
          </cell>
          <cell r="E69">
            <v>26.78</v>
          </cell>
          <cell r="F69">
            <v>1.3</v>
          </cell>
          <cell r="G69">
            <v>21.599999999999998</v>
          </cell>
          <cell r="H69">
            <v>21.599999999999998</v>
          </cell>
        </row>
        <row r="70">
          <cell r="B70">
            <v>37767</v>
          </cell>
          <cell r="C70">
            <v>23.7</v>
          </cell>
          <cell r="D70">
            <v>22.571428571428573</v>
          </cell>
          <cell r="F70">
            <v>1.3</v>
          </cell>
          <cell r="G70">
            <v>21.814285714285713</v>
          </cell>
          <cell r="H70">
            <v>21.814285714285713</v>
          </cell>
        </row>
        <row r="71">
          <cell r="B71">
            <v>37768</v>
          </cell>
          <cell r="C71">
            <v>23.7</v>
          </cell>
          <cell r="D71">
            <v>22.571428571428573</v>
          </cell>
          <cell r="E71">
            <v>26.78</v>
          </cell>
          <cell r="F71">
            <v>1.3</v>
          </cell>
          <cell r="G71">
            <v>22.24285714285714</v>
          </cell>
          <cell r="H71">
            <v>22.24285714285714</v>
          </cell>
        </row>
        <row r="72">
          <cell r="B72">
            <v>37769</v>
          </cell>
          <cell r="C72">
            <v>23.5</v>
          </cell>
          <cell r="D72">
            <v>22.785714285714285</v>
          </cell>
          <cell r="E72">
            <v>26.88</v>
          </cell>
          <cell r="F72">
            <v>1.3</v>
          </cell>
          <cell r="G72">
            <v>22.171428571428571</v>
          </cell>
          <cell r="H72">
            <v>22.171428571428571</v>
          </cell>
        </row>
        <row r="73">
          <cell r="B73">
            <v>37770</v>
          </cell>
          <cell r="C73">
            <v>23.2</v>
          </cell>
          <cell r="D73">
            <v>22.285714285714285</v>
          </cell>
          <cell r="E73">
            <v>26.06</v>
          </cell>
          <cell r="F73">
            <v>1.3</v>
          </cell>
          <cell r="G73">
            <v>21.099999999999998</v>
          </cell>
          <cell r="H73">
            <v>21.028571428571428</v>
          </cell>
        </row>
        <row r="74">
          <cell r="B74">
            <v>37771</v>
          </cell>
          <cell r="C74">
            <v>23.2</v>
          </cell>
          <cell r="D74">
            <v>22.321428571428573</v>
          </cell>
          <cell r="E74">
            <v>26.32</v>
          </cell>
          <cell r="F74">
            <v>1.3</v>
          </cell>
          <cell r="H74">
            <v>21.485714285714288</v>
          </cell>
        </row>
        <row r="75">
          <cell r="B75">
            <v>37774</v>
          </cell>
          <cell r="C75">
            <v>23.3</v>
          </cell>
          <cell r="D75">
            <v>22.642857142857142</v>
          </cell>
          <cell r="E75">
            <v>26.63</v>
          </cell>
          <cell r="F75">
            <v>1.3</v>
          </cell>
          <cell r="H75">
            <v>21.592857142857145</v>
          </cell>
        </row>
        <row r="76">
          <cell r="B76">
            <v>37775</v>
          </cell>
          <cell r="C76">
            <v>23.3</v>
          </cell>
          <cell r="D76">
            <v>23.035714285714285</v>
          </cell>
          <cell r="E76">
            <v>27.87</v>
          </cell>
          <cell r="F76">
            <v>1.3</v>
          </cell>
          <cell r="H76">
            <v>22.021428571428572</v>
          </cell>
        </row>
        <row r="77">
          <cell r="B77">
            <v>37776</v>
          </cell>
          <cell r="C77">
            <v>23.8</v>
          </cell>
          <cell r="D77">
            <v>23.107142857142858</v>
          </cell>
          <cell r="E77">
            <v>28.09</v>
          </cell>
          <cell r="F77">
            <v>1.3</v>
          </cell>
          <cell r="G77">
            <v>22.04</v>
          </cell>
          <cell r="H77">
            <v>21.971428571428572</v>
          </cell>
        </row>
        <row r="78">
          <cell r="B78">
            <v>37777</v>
          </cell>
          <cell r="C78">
            <v>23.8</v>
          </cell>
          <cell r="D78">
            <v>22.607142857142858</v>
          </cell>
          <cell r="E78">
            <v>27.57</v>
          </cell>
          <cell r="F78">
            <v>1.3</v>
          </cell>
          <cell r="G78">
            <v>21.900000000000002</v>
          </cell>
          <cell r="H78">
            <v>21.828571428571429</v>
          </cell>
        </row>
        <row r="79">
          <cell r="B79">
            <v>37778</v>
          </cell>
          <cell r="C79">
            <v>24</v>
          </cell>
          <cell r="D79">
            <v>23.357142857142858</v>
          </cell>
          <cell r="E79">
            <v>27.68</v>
          </cell>
          <cell r="F79">
            <v>1.1000000000000001</v>
          </cell>
          <cell r="G79">
            <v>22.307142857142857</v>
          </cell>
          <cell r="H79">
            <v>22.235714285714288</v>
          </cell>
        </row>
        <row r="80">
          <cell r="B80">
            <v>37781</v>
          </cell>
          <cell r="C80">
            <v>23.8</v>
          </cell>
          <cell r="D80">
            <v>23.5</v>
          </cell>
          <cell r="E80">
            <v>28.56</v>
          </cell>
          <cell r="F80">
            <v>1</v>
          </cell>
          <cell r="G80">
            <v>22.271428571428572</v>
          </cell>
          <cell r="H80">
            <v>22.201428571428572</v>
          </cell>
        </row>
        <row r="81">
          <cell r="B81">
            <v>37782</v>
          </cell>
          <cell r="C81">
            <v>23.8</v>
          </cell>
          <cell r="D81">
            <v>23.571428571428601</v>
          </cell>
          <cell r="E81">
            <v>28.38</v>
          </cell>
          <cell r="F81">
            <v>1</v>
          </cell>
          <cell r="G81">
            <v>22.12857142857143</v>
          </cell>
          <cell r="H81">
            <v>22.05857142857143</v>
          </cell>
        </row>
        <row r="82">
          <cell r="B82">
            <v>37783</v>
          </cell>
          <cell r="C82">
            <v>23.8</v>
          </cell>
          <cell r="D82">
            <v>23.571428571428601</v>
          </cell>
          <cell r="E82">
            <v>28.52</v>
          </cell>
          <cell r="F82">
            <v>1</v>
          </cell>
          <cell r="G82">
            <v>22.271428571428572</v>
          </cell>
          <cell r="H82">
            <v>22.201428571428572</v>
          </cell>
        </row>
        <row r="83">
          <cell r="B83">
            <v>37784</v>
          </cell>
          <cell r="C83">
            <v>24</v>
          </cell>
          <cell r="D83">
            <v>23.714285714285701</v>
          </cell>
          <cell r="E83">
            <v>28.47</v>
          </cell>
          <cell r="F83">
            <v>0.9</v>
          </cell>
          <cell r="G83">
            <v>22.528571428571428</v>
          </cell>
          <cell r="H83">
            <v>22.458571428571428</v>
          </cell>
        </row>
        <row r="84">
          <cell r="B84">
            <v>37785</v>
          </cell>
          <cell r="C84">
            <v>23.5</v>
          </cell>
          <cell r="D84">
            <v>23.571428571428601</v>
          </cell>
          <cell r="E84">
            <v>28.87</v>
          </cell>
          <cell r="F84">
            <v>0.7</v>
          </cell>
          <cell r="G84">
            <v>22.3</v>
          </cell>
          <cell r="H84">
            <v>22.23</v>
          </cell>
        </row>
        <row r="85">
          <cell r="B85">
            <v>37788</v>
          </cell>
          <cell r="C85">
            <v>23.5</v>
          </cell>
          <cell r="D85">
            <v>23.285714285714285</v>
          </cell>
          <cell r="E85">
            <v>28.63</v>
          </cell>
          <cell r="F85">
            <v>0.7</v>
          </cell>
          <cell r="G85">
            <v>22.335714285714285</v>
          </cell>
          <cell r="H85">
            <v>22.265714285714285</v>
          </cell>
        </row>
        <row r="86">
          <cell r="B86">
            <v>37789</v>
          </cell>
          <cell r="C86">
            <v>23.5</v>
          </cell>
          <cell r="D86">
            <v>23.785714285714285</v>
          </cell>
          <cell r="E86">
            <v>27.21</v>
          </cell>
          <cell r="F86">
            <v>0.7</v>
          </cell>
          <cell r="G86">
            <v>22.085714285714285</v>
          </cell>
          <cell r="H86">
            <v>22.015714285714285</v>
          </cell>
        </row>
        <row r="87">
          <cell r="B87">
            <v>37790</v>
          </cell>
          <cell r="C87">
            <v>23.5</v>
          </cell>
          <cell r="D87">
            <v>24.214285714285715</v>
          </cell>
          <cell r="E87">
            <v>26.97</v>
          </cell>
          <cell r="F87">
            <v>0.5</v>
          </cell>
          <cell r="G87">
            <v>22.157142857142855</v>
          </cell>
          <cell r="H87">
            <v>22.087142857142855</v>
          </cell>
        </row>
        <row r="88">
          <cell r="B88">
            <v>37791</v>
          </cell>
          <cell r="C88">
            <v>23.2</v>
          </cell>
          <cell r="D88">
            <v>24</v>
          </cell>
          <cell r="E88">
            <v>26.55</v>
          </cell>
          <cell r="F88">
            <v>0.5</v>
          </cell>
          <cell r="G88">
            <v>22.478571428571428</v>
          </cell>
          <cell r="H88">
            <v>22.478571428571428</v>
          </cell>
        </row>
        <row r="89">
          <cell r="B89">
            <v>37792</v>
          </cell>
          <cell r="C89">
            <v>23</v>
          </cell>
          <cell r="D89">
            <v>24.142857142857142</v>
          </cell>
          <cell r="E89">
            <v>26.43</v>
          </cell>
          <cell r="F89">
            <v>0.5</v>
          </cell>
          <cell r="G89">
            <v>22.764285714285712</v>
          </cell>
          <cell r="H89">
            <v>22.764285714285712</v>
          </cell>
        </row>
        <row r="90">
          <cell r="B90">
            <v>37795</v>
          </cell>
          <cell r="C90">
            <v>23</v>
          </cell>
          <cell r="D90">
            <v>24.464285714285715</v>
          </cell>
          <cell r="E90">
            <v>27.37</v>
          </cell>
          <cell r="F90">
            <v>0.5</v>
          </cell>
          <cell r="G90">
            <v>22.157142857142855</v>
          </cell>
        </row>
        <row r="91">
          <cell r="B91">
            <v>37796</v>
          </cell>
          <cell r="D91">
            <v>24.428571428571399</v>
          </cell>
          <cell r="E91">
            <v>26.97</v>
          </cell>
        </row>
        <row r="92">
          <cell r="B92">
            <v>37797</v>
          </cell>
          <cell r="C92">
            <v>22.9</v>
          </cell>
          <cell r="D92">
            <v>24.25</v>
          </cell>
          <cell r="E92">
            <v>26.78</v>
          </cell>
          <cell r="F92">
            <v>0.4</v>
          </cell>
          <cell r="G92">
            <v>22.585714285714285</v>
          </cell>
          <cell r="H92">
            <v>22.585714285714285</v>
          </cell>
        </row>
        <row r="93">
          <cell r="B93">
            <v>37798</v>
          </cell>
          <cell r="C93">
            <v>23.2</v>
          </cell>
          <cell r="D93">
            <v>24.928571428571427</v>
          </cell>
          <cell r="E93">
            <v>27.64</v>
          </cell>
          <cell r="F93">
            <v>0.4</v>
          </cell>
          <cell r="G93">
            <v>23.192857142857143</v>
          </cell>
          <cell r="H93">
            <v>23.192857142857143</v>
          </cell>
        </row>
        <row r="94">
          <cell r="B94">
            <v>37799</v>
          </cell>
          <cell r="C94">
            <v>23.1</v>
          </cell>
          <cell r="E94">
            <v>26.69</v>
          </cell>
          <cell r="F94">
            <v>0.4</v>
          </cell>
          <cell r="G94">
            <v>23.05</v>
          </cell>
          <cell r="H94">
            <v>23.05</v>
          </cell>
        </row>
        <row r="95">
          <cell r="B95">
            <v>37802</v>
          </cell>
          <cell r="C95">
            <v>23.3</v>
          </cell>
          <cell r="D95">
            <v>24.785714285714285</v>
          </cell>
          <cell r="E95">
            <v>27.25</v>
          </cell>
          <cell r="F95">
            <v>0.4</v>
          </cell>
          <cell r="G95">
            <v>23.264285714285712</v>
          </cell>
          <cell r="H95">
            <v>23.264285714285712</v>
          </cell>
        </row>
        <row r="96">
          <cell r="B96">
            <v>37803</v>
          </cell>
          <cell r="C96">
            <v>23.6</v>
          </cell>
          <cell r="D96">
            <v>25.142857142857142</v>
          </cell>
          <cell r="E96">
            <v>28.45</v>
          </cell>
          <cell r="F96">
            <v>0.4</v>
          </cell>
          <cell r="G96">
            <v>23.835714285714285</v>
          </cell>
          <cell r="H96">
            <v>23.978571428571428</v>
          </cell>
        </row>
        <row r="97">
          <cell r="B97">
            <v>37804</v>
          </cell>
          <cell r="C97">
            <v>23.6</v>
          </cell>
          <cell r="F97">
            <v>0.4</v>
          </cell>
          <cell r="G97">
            <v>24.55</v>
          </cell>
          <cell r="H97">
            <v>24.55</v>
          </cell>
        </row>
        <row r="98">
          <cell r="B98">
            <v>37805</v>
          </cell>
          <cell r="C98">
            <v>23.7</v>
          </cell>
          <cell r="D98">
            <v>25.535714285714285</v>
          </cell>
          <cell r="E98">
            <v>28.16</v>
          </cell>
          <cell r="F98">
            <v>0.4</v>
          </cell>
          <cell r="G98">
            <v>24.657142857142855</v>
          </cell>
          <cell r="H98">
            <v>24.657142857142855</v>
          </cell>
        </row>
        <row r="99">
          <cell r="B99">
            <v>37806</v>
          </cell>
          <cell r="C99">
            <v>23.5</v>
          </cell>
          <cell r="D99">
            <v>25.785714285714285</v>
          </cell>
          <cell r="E99">
            <v>28.39</v>
          </cell>
          <cell r="F99">
            <v>0.4</v>
          </cell>
          <cell r="G99">
            <v>23.971428571428572</v>
          </cell>
          <cell r="H99">
            <v>23.971428571428572</v>
          </cell>
        </row>
        <row r="100">
          <cell r="B100">
            <v>37809</v>
          </cell>
          <cell r="C100">
            <v>23.5</v>
          </cell>
          <cell r="F100">
            <v>0.4</v>
          </cell>
          <cell r="G100">
            <v>23.935714285714287</v>
          </cell>
          <cell r="H100">
            <v>23.935714285714287</v>
          </cell>
        </row>
        <row r="101">
          <cell r="B101">
            <v>37810</v>
          </cell>
          <cell r="C101">
            <v>23.3</v>
          </cell>
          <cell r="D101">
            <v>24.892857142857142</v>
          </cell>
          <cell r="E101">
            <v>27.81</v>
          </cell>
          <cell r="F101">
            <v>0.5</v>
          </cell>
          <cell r="G101">
            <v>23.292857142857144</v>
          </cell>
          <cell r="H101">
            <v>23.292857142857144</v>
          </cell>
        </row>
        <row r="102">
          <cell r="B102">
            <v>37811</v>
          </cell>
          <cell r="C102">
            <v>23.3</v>
          </cell>
          <cell r="E102">
            <v>27.97</v>
          </cell>
          <cell r="F102">
            <v>0.5</v>
          </cell>
          <cell r="G102">
            <v>23.792857142857144</v>
          </cell>
        </row>
        <row r="103">
          <cell r="B103">
            <v>37812</v>
          </cell>
          <cell r="C103">
            <v>23.3</v>
          </cell>
          <cell r="D103">
            <v>25.607142857142858</v>
          </cell>
          <cell r="E103">
            <v>28.59</v>
          </cell>
          <cell r="F103">
            <v>0.5</v>
          </cell>
          <cell r="G103">
            <v>24.292857142857144</v>
          </cell>
          <cell r="H103">
            <v>24.292857142857144</v>
          </cell>
        </row>
        <row r="104">
          <cell r="B104">
            <v>37813</v>
          </cell>
          <cell r="C104">
            <v>23.6</v>
          </cell>
          <cell r="D104">
            <v>25.642857142857142</v>
          </cell>
          <cell r="E104">
            <v>28.6</v>
          </cell>
          <cell r="F104">
            <v>0.6</v>
          </cell>
          <cell r="G104">
            <v>24.435714285714287</v>
          </cell>
          <cell r="H104">
            <v>24.435714285714287</v>
          </cell>
        </row>
        <row r="105">
          <cell r="B105">
            <v>37816</v>
          </cell>
          <cell r="C105">
            <v>23.8</v>
          </cell>
          <cell r="D105">
            <v>25.892857142857142</v>
          </cell>
          <cell r="E105">
            <v>28.88</v>
          </cell>
          <cell r="F105">
            <v>0.6</v>
          </cell>
          <cell r="G105">
            <v>24.721428571428572</v>
          </cell>
          <cell r="H105">
            <v>24.721428571428572</v>
          </cell>
        </row>
        <row r="106">
          <cell r="B106">
            <v>37817</v>
          </cell>
          <cell r="C106">
            <v>23.8</v>
          </cell>
          <cell r="D106">
            <v>26</v>
          </cell>
          <cell r="E106">
            <v>29.05</v>
          </cell>
          <cell r="F106">
            <v>0.6</v>
          </cell>
          <cell r="G106">
            <v>24.578571428571429</v>
          </cell>
          <cell r="H106">
            <v>24.578571428571429</v>
          </cell>
        </row>
        <row r="107">
          <cell r="B107">
            <v>37818</v>
          </cell>
          <cell r="C107">
            <v>23.8</v>
          </cell>
          <cell r="F107">
            <v>0.6</v>
          </cell>
          <cell r="G107">
            <v>24.435714285714287</v>
          </cell>
          <cell r="H107">
            <v>24.435714285714287</v>
          </cell>
        </row>
        <row r="109">
          <cell r="B109">
            <v>37819</v>
          </cell>
          <cell r="C109">
            <v>23.8</v>
          </cell>
          <cell r="D109">
            <v>25.714285714285715</v>
          </cell>
          <cell r="E109">
            <v>28.53</v>
          </cell>
          <cell r="F109">
            <v>0.6</v>
          </cell>
          <cell r="G109">
            <v>24.292857142857144</v>
          </cell>
          <cell r="H109">
            <v>24.292857142857144</v>
          </cell>
        </row>
        <row r="110">
          <cell r="B110">
            <v>37820</v>
          </cell>
          <cell r="C110">
            <v>23.8</v>
          </cell>
          <cell r="D110">
            <v>25.607142857142858</v>
          </cell>
          <cell r="E110">
            <v>28.83</v>
          </cell>
          <cell r="F110">
            <v>0.6</v>
          </cell>
          <cell r="G110">
            <v>24.221428571428572</v>
          </cell>
          <cell r="H110">
            <v>24.221428571428572</v>
          </cell>
        </row>
        <row r="111">
          <cell r="B111">
            <v>37823</v>
          </cell>
          <cell r="C111">
            <v>23.9</v>
          </cell>
          <cell r="D111">
            <v>25.25</v>
          </cell>
          <cell r="E111">
            <v>29.19</v>
          </cell>
          <cell r="F111">
            <v>0.6</v>
          </cell>
          <cell r="G111">
            <v>23.971428571428572</v>
          </cell>
          <cell r="H111">
            <v>23.971428571428572</v>
          </cell>
        </row>
        <row r="112">
          <cell r="B112">
            <v>37824</v>
          </cell>
          <cell r="C112">
            <v>23.6</v>
          </cell>
          <cell r="E112">
            <v>28.98</v>
          </cell>
          <cell r="F112">
            <v>0.6</v>
          </cell>
          <cell r="G112">
            <v>23.50714285714286</v>
          </cell>
          <cell r="H112">
            <v>23.50714285714286</v>
          </cell>
        </row>
        <row r="113">
          <cell r="B113">
            <v>37825</v>
          </cell>
          <cell r="C113">
            <v>23.1</v>
          </cell>
          <cell r="E113">
            <v>27.63</v>
          </cell>
          <cell r="F113">
            <v>0.6</v>
          </cell>
          <cell r="G113">
            <v>23.078571428571429</v>
          </cell>
          <cell r="H113">
            <v>23.078571428571429</v>
          </cell>
        </row>
        <row r="114">
          <cell r="B114">
            <v>37826</v>
          </cell>
          <cell r="C114">
            <v>23.1</v>
          </cell>
          <cell r="D114">
            <v>24.392857142857142</v>
          </cell>
          <cell r="E114">
            <v>27.89</v>
          </cell>
          <cell r="F114">
            <v>0.6</v>
          </cell>
          <cell r="G114">
            <v>23.364285714285717</v>
          </cell>
          <cell r="H114">
            <v>23.364285714285717</v>
          </cell>
        </row>
        <row r="115">
          <cell r="B115">
            <v>37827</v>
          </cell>
          <cell r="C115">
            <v>23.1</v>
          </cell>
          <cell r="D115">
            <v>24.535714285714285</v>
          </cell>
          <cell r="E115">
            <v>28.31</v>
          </cell>
          <cell r="F115">
            <v>0.6</v>
          </cell>
          <cell r="G115">
            <v>23.292857142857144</v>
          </cell>
          <cell r="H115">
            <v>23.292857142857144</v>
          </cell>
        </row>
        <row r="116">
          <cell r="B116">
            <v>37830</v>
          </cell>
          <cell r="C116">
            <v>23.1</v>
          </cell>
          <cell r="D116">
            <v>24.178571428571427</v>
          </cell>
          <cell r="E116">
            <v>28.32</v>
          </cell>
          <cell r="F116">
            <v>0.6</v>
          </cell>
          <cell r="G116">
            <v>22.721428571428572</v>
          </cell>
          <cell r="H116">
            <v>22.721428571428572</v>
          </cell>
        </row>
        <row r="117">
          <cell r="B117">
            <v>37831</v>
          </cell>
          <cell r="C117">
            <v>23</v>
          </cell>
          <cell r="E117">
            <v>27.87</v>
          </cell>
          <cell r="F117">
            <v>0.6</v>
          </cell>
          <cell r="G117">
            <v>22.721428571428572</v>
          </cell>
          <cell r="H117">
            <v>22.721428571428572</v>
          </cell>
        </row>
        <row r="118">
          <cell r="B118">
            <v>37832</v>
          </cell>
          <cell r="C118">
            <v>23</v>
          </cell>
          <cell r="D118">
            <v>24.035714285714285</v>
          </cell>
          <cell r="F118">
            <v>0.6</v>
          </cell>
          <cell r="G118">
            <v>23.078571428571429</v>
          </cell>
          <cell r="H118">
            <v>23.078571428571429</v>
          </cell>
        </row>
        <row r="119">
          <cell r="B119">
            <v>37833</v>
          </cell>
          <cell r="C119">
            <v>22.9</v>
          </cell>
          <cell r="D119">
            <v>24.5</v>
          </cell>
          <cell r="E119">
            <v>28.58</v>
          </cell>
          <cell r="F119">
            <v>0.2</v>
          </cell>
          <cell r="G119">
            <v>23.185714285714287</v>
          </cell>
          <cell r="H119">
            <v>23.185714285714287</v>
          </cell>
        </row>
        <row r="120">
          <cell r="B120">
            <v>37834</v>
          </cell>
          <cell r="C120">
            <v>22.9</v>
          </cell>
          <cell r="D120">
            <v>24.214285714285715</v>
          </cell>
          <cell r="E120">
            <v>28.48</v>
          </cell>
          <cell r="F120">
            <v>0.2</v>
          </cell>
          <cell r="G120">
            <v>23.035714285714285</v>
          </cell>
          <cell r="H120">
            <v>23.035714285714285</v>
          </cell>
        </row>
        <row r="121">
          <cell r="B121">
            <v>37837</v>
          </cell>
          <cell r="C121">
            <v>23.2</v>
          </cell>
          <cell r="F121">
            <v>0.2</v>
          </cell>
          <cell r="G121">
            <v>23.107142857142858</v>
          </cell>
          <cell r="H121">
            <v>23.107142857142858</v>
          </cell>
        </row>
        <row r="122">
          <cell r="B122">
            <v>37838</v>
          </cell>
          <cell r="C122">
            <v>23.2</v>
          </cell>
          <cell r="D122">
            <v>24.5</v>
          </cell>
          <cell r="E122">
            <v>29.88</v>
          </cell>
          <cell r="F122">
            <v>0.3</v>
          </cell>
          <cell r="G122">
            <v>22.642857142857142</v>
          </cell>
          <cell r="H122">
            <v>22.642857142857142</v>
          </cell>
        </row>
        <row r="123">
          <cell r="B123">
            <v>37839</v>
          </cell>
          <cell r="C123">
            <v>23.5</v>
          </cell>
          <cell r="D123">
            <v>24.571428571428573</v>
          </cell>
          <cell r="F123">
            <v>0.4</v>
          </cell>
          <cell r="G123">
            <v>23.214285714285715</v>
          </cell>
          <cell r="H123">
            <v>23.214285714285715</v>
          </cell>
        </row>
        <row r="124">
          <cell r="B124">
            <v>37840</v>
          </cell>
          <cell r="C124">
            <v>23.4</v>
          </cell>
          <cell r="D124">
            <v>24.428571428571399</v>
          </cell>
          <cell r="E124">
            <v>29.75</v>
          </cell>
          <cell r="F124">
            <v>0.4</v>
          </cell>
          <cell r="G124">
            <v>23</v>
          </cell>
          <cell r="H124">
            <v>23</v>
          </cell>
        </row>
        <row r="125">
          <cell r="B125">
            <v>37841</v>
          </cell>
          <cell r="C125">
            <v>23.6</v>
          </cell>
          <cell r="D125">
            <v>25</v>
          </cell>
          <cell r="E125">
            <v>30.92</v>
          </cell>
          <cell r="F125">
            <v>0.4</v>
          </cell>
          <cell r="G125">
            <v>22.849999999999998</v>
          </cell>
          <cell r="H125">
            <v>23.24285714285714</v>
          </cell>
        </row>
        <row r="126">
          <cell r="B126">
            <v>37844</v>
          </cell>
          <cell r="C126">
            <v>23.5</v>
          </cell>
          <cell r="D126">
            <v>24.928571428571427</v>
          </cell>
          <cell r="F126">
            <v>0.4</v>
          </cell>
          <cell r="G126">
            <v>23.24285714285714</v>
          </cell>
          <cell r="H126">
            <v>22.849999999999998</v>
          </cell>
        </row>
        <row r="127">
          <cell r="B127">
            <v>37845</v>
          </cell>
          <cell r="C127">
            <v>23.3</v>
          </cell>
          <cell r="D127">
            <v>24.678571428571427</v>
          </cell>
          <cell r="F127">
            <v>0.5</v>
          </cell>
          <cell r="G127">
            <v>22.74285714285714</v>
          </cell>
          <cell r="H127">
            <v>22.74285714285714</v>
          </cell>
        </row>
        <row r="128">
          <cell r="B128">
            <v>37846</v>
          </cell>
          <cell r="C128">
            <v>23.3</v>
          </cell>
          <cell r="D128">
            <v>24.571428571428601</v>
          </cell>
          <cell r="E128">
            <v>30.11</v>
          </cell>
          <cell r="F128">
            <v>0.5</v>
          </cell>
          <cell r="G128">
            <v>22.814285714285713</v>
          </cell>
          <cell r="H128">
            <v>22.671428571428571</v>
          </cell>
        </row>
        <row r="129">
          <cell r="B129">
            <v>37847</v>
          </cell>
          <cell r="C129">
            <v>23</v>
          </cell>
          <cell r="D129">
            <v>23.821428571428573</v>
          </cell>
          <cell r="E129">
            <v>29.56</v>
          </cell>
          <cell r="F129">
            <v>0.5</v>
          </cell>
          <cell r="G129">
            <v>22.335714285714285</v>
          </cell>
          <cell r="H129">
            <v>22.335714285714285</v>
          </cell>
        </row>
        <row r="130">
          <cell r="B130">
            <v>37848</v>
          </cell>
          <cell r="C130">
            <v>23</v>
          </cell>
          <cell r="D130">
            <v>24.071428571428573</v>
          </cell>
          <cell r="F130">
            <v>0.5</v>
          </cell>
          <cell r="G130">
            <v>22.55</v>
          </cell>
          <cell r="H130">
            <v>22.55</v>
          </cell>
        </row>
        <row r="131">
          <cell r="B131">
            <v>37851</v>
          </cell>
          <cell r="C131">
            <v>23</v>
          </cell>
          <cell r="D131">
            <v>23.678571428571427</v>
          </cell>
          <cell r="E131">
            <v>29.28</v>
          </cell>
          <cell r="F131">
            <v>0.5</v>
          </cell>
          <cell r="G131">
            <v>22.478571428571428</v>
          </cell>
          <cell r="H131">
            <v>22.478571428571428</v>
          </cell>
        </row>
        <row r="132">
          <cell r="B132">
            <v>37852</v>
          </cell>
          <cell r="C132">
            <v>22.9</v>
          </cell>
          <cell r="E132">
            <v>29.07</v>
          </cell>
          <cell r="F132">
            <v>0.5</v>
          </cell>
          <cell r="G132">
            <v>22.192857142857143</v>
          </cell>
          <cell r="H132">
            <v>22.192857142857143</v>
          </cell>
        </row>
        <row r="133">
          <cell r="B133">
            <v>37853</v>
          </cell>
          <cell r="D133">
            <v>23.678571428571427</v>
          </cell>
          <cell r="E133">
            <v>28.92</v>
          </cell>
          <cell r="H133">
            <v>21.728571428571428</v>
          </cell>
        </row>
        <row r="134">
          <cell r="B134">
            <v>37854</v>
          </cell>
          <cell r="C134">
            <v>23</v>
          </cell>
          <cell r="D134">
            <v>23.357142857142858</v>
          </cell>
          <cell r="F134">
            <v>0.5</v>
          </cell>
          <cell r="G134">
            <v>21.764285714285712</v>
          </cell>
          <cell r="H134">
            <v>21.764285714285712</v>
          </cell>
        </row>
        <row r="135">
          <cell r="B135">
            <v>37855</v>
          </cell>
          <cell r="C135">
            <v>23.1</v>
          </cell>
          <cell r="D135">
            <v>23.57</v>
          </cell>
          <cell r="E135">
            <v>30.01</v>
          </cell>
          <cell r="F135">
            <v>0.5</v>
          </cell>
          <cell r="G135">
            <v>22.114285714285717</v>
          </cell>
          <cell r="H135">
            <v>22.114285714285717</v>
          </cell>
        </row>
        <row r="136">
          <cell r="B136">
            <v>37858</v>
          </cell>
          <cell r="C136">
            <v>23.1</v>
          </cell>
          <cell r="D136">
            <v>23.607142857142858</v>
          </cell>
          <cell r="E136">
            <v>30.12</v>
          </cell>
          <cell r="F136">
            <v>0.5</v>
          </cell>
          <cell r="G136">
            <v>22.364285714285717</v>
          </cell>
          <cell r="H136">
            <v>22.364285714285717</v>
          </cell>
        </row>
        <row r="137">
          <cell r="B137">
            <v>37859</v>
          </cell>
          <cell r="C137">
            <v>23.1</v>
          </cell>
          <cell r="D137">
            <v>23.642857142857142</v>
          </cell>
          <cell r="E137">
            <v>30.26</v>
          </cell>
          <cell r="F137">
            <v>0.5</v>
          </cell>
          <cell r="G137">
            <v>22.185714285714287</v>
          </cell>
          <cell r="H137">
            <v>22.185714285714287</v>
          </cell>
        </row>
        <row r="138">
          <cell r="B138">
            <v>37860</v>
          </cell>
          <cell r="C138">
            <v>23.7</v>
          </cell>
          <cell r="E138">
            <v>29.72</v>
          </cell>
          <cell r="F138">
            <v>0.5</v>
          </cell>
          <cell r="G138">
            <v>22.150000000000002</v>
          </cell>
          <cell r="H138">
            <v>22.150000000000002</v>
          </cell>
        </row>
        <row r="139">
          <cell r="B139">
            <v>37861</v>
          </cell>
          <cell r="C139">
            <v>23.6</v>
          </cell>
          <cell r="D139">
            <v>23.428571428571399</v>
          </cell>
          <cell r="E139">
            <v>29.72</v>
          </cell>
          <cell r="F139">
            <v>0.5</v>
          </cell>
          <cell r="G139">
            <v>22.185714285714287</v>
          </cell>
          <cell r="H139">
            <v>22.185714285714287</v>
          </cell>
        </row>
        <row r="140">
          <cell r="B140">
            <v>37862</v>
          </cell>
          <cell r="C140">
            <v>23.7</v>
          </cell>
          <cell r="D140">
            <v>24.071428571428573</v>
          </cell>
          <cell r="E140">
            <v>29.97</v>
          </cell>
          <cell r="F140">
            <v>0.6</v>
          </cell>
          <cell r="G140">
            <v>22.278571428571428</v>
          </cell>
          <cell r="H140">
            <v>22.278571428571428</v>
          </cell>
        </row>
        <row r="141">
          <cell r="B141">
            <v>37865</v>
          </cell>
          <cell r="C141">
            <v>23.7</v>
          </cell>
          <cell r="D141">
            <v>23.785714285714285</v>
          </cell>
          <cell r="E141">
            <v>30.01</v>
          </cell>
          <cell r="F141">
            <v>0.6</v>
          </cell>
          <cell r="H141">
            <v>22.349999999999998</v>
          </cell>
        </row>
        <row r="142">
          <cell r="B142">
            <v>37866</v>
          </cell>
          <cell r="C142">
            <v>23.6</v>
          </cell>
          <cell r="E142">
            <v>29.62</v>
          </cell>
          <cell r="F142">
            <v>0.6</v>
          </cell>
          <cell r="G142">
            <v>23.592857142857145</v>
          </cell>
          <cell r="H142">
            <v>22.349999999999998</v>
          </cell>
        </row>
        <row r="143">
          <cell r="B143">
            <v>37867</v>
          </cell>
          <cell r="C143">
            <v>23.2</v>
          </cell>
          <cell r="D143">
            <v>23.142857142857142</v>
          </cell>
          <cell r="E143">
            <v>27.84</v>
          </cell>
          <cell r="F143">
            <v>0.6</v>
          </cell>
          <cell r="G143">
            <v>23.035714285714285</v>
          </cell>
          <cell r="H143">
            <v>21.707142857142856</v>
          </cell>
        </row>
        <row r="144">
          <cell r="B144">
            <v>37868</v>
          </cell>
          <cell r="C144">
            <v>23.1</v>
          </cell>
          <cell r="D144">
            <v>23.071428571428573</v>
          </cell>
          <cell r="E144">
            <v>27.95</v>
          </cell>
          <cell r="F144">
            <v>0.6</v>
          </cell>
          <cell r="G144">
            <v>22.821428571428573</v>
          </cell>
          <cell r="H144">
            <v>21.778571428571428</v>
          </cell>
        </row>
        <row r="145">
          <cell r="B145">
            <v>37869</v>
          </cell>
          <cell r="C145">
            <v>22.8</v>
          </cell>
          <cell r="E145">
            <v>27.61</v>
          </cell>
          <cell r="F145">
            <v>0.8</v>
          </cell>
          <cell r="G145">
            <v>22.571428571428573</v>
          </cell>
          <cell r="H145">
            <v>21.24285714285714</v>
          </cell>
        </row>
        <row r="146">
          <cell r="B146">
            <v>37872</v>
          </cell>
          <cell r="C146">
            <v>22.8</v>
          </cell>
          <cell r="E146">
            <v>27.55</v>
          </cell>
          <cell r="F146">
            <v>0.8</v>
          </cell>
          <cell r="G146">
            <v>22.678571428571427</v>
          </cell>
          <cell r="H146">
            <v>21.349999999999998</v>
          </cell>
        </row>
        <row r="147">
          <cell r="B147">
            <v>37873</v>
          </cell>
          <cell r="C147">
            <v>22.8</v>
          </cell>
          <cell r="E147">
            <v>27.5</v>
          </cell>
          <cell r="F147">
            <v>0.8</v>
          </cell>
          <cell r="G147">
            <v>22.821428571428573</v>
          </cell>
          <cell r="H147">
            <v>21.49285714285714</v>
          </cell>
        </row>
        <row r="148">
          <cell r="B148">
            <v>37874</v>
          </cell>
          <cell r="C148">
            <v>23</v>
          </cell>
          <cell r="D148">
            <v>22.892857142857142</v>
          </cell>
          <cell r="E148">
            <v>27.57</v>
          </cell>
          <cell r="F148">
            <v>0.8</v>
          </cell>
          <cell r="G148">
            <v>23.035714285714285</v>
          </cell>
          <cell r="H148">
            <v>21.707142857142856</v>
          </cell>
        </row>
        <row r="149">
          <cell r="B149">
            <v>37875</v>
          </cell>
          <cell r="C149">
            <v>23</v>
          </cell>
          <cell r="D149">
            <v>23.285714285714285</v>
          </cell>
          <cell r="E149">
            <v>27.78</v>
          </cell>
          <cell r="F149">
            <v>0.8</v>
          </cell>
          <cell r="G149">
            <v>23.178571428571427</v>
          </cell>
          <cell r="H149">
            <v>21.849999999999998</v>
          </cell>
        </row>
        <row r="150">
          <cell r="B150">
            <v>37876</v>
          </cell>
          <cell r="C150">
            <v>23</v>
          </cell>
          <cell r="D150">
            <v>22.928571428571427</v>
          </cell>
          <cell r="E150">
            <v>27.25</v>
          </cell>
          <cell r="F150">
            <v>1</v>
          </cell>
          <cell r="G150">
            <v>22.964285714285715</v>
          </cell>
          <cell r="H150">
            <v>21.585714285714285</v>
          </cell>
        </row>
        <row r="151">
          <cell r="B151">
            <v>37879</v>
          </cell>
          <cell r="C151">
            <v>22.9</v>
          </cell>
          <cell r="D151">
            <v>22.785714285714285</v>
          </cell>
          <cell r="E151">
            <v>26.68</v>
          </cell>
          <cell r="F151">
            <v>1</v>
          </cell>
        </row>
        <row r="152">
          <cell r="B152">
            <v>37880</v>
          </cell>
          <cell r="C152">
            <v>22.9</v>
          </cell>
          <cell r="D152">
            <v>22.785714285714285</v>
          </cell>
          <cell r="E152">
            <v>26.78</v>
          </cell>
          <cell r="F152">
            <v>1</v>
          </cell>
          <cell r="H152">
            <v>21.407142857142855</v>
          </cell>
        </row>
        <row r="153">
          <cell r="B153">
            <v>37881</v>
          </cell>
          <cell r="C153">
            <v>22.8</v>
          </cell>
          <cell r="E153">
            <v>26.28</v>
          </cell>
          <cell r="F153">
            <v>1</v>
          </cell>
          <cell r="H153">
            <v>20.978571428571428</v>
          </cell>
        </row>
        <row r="154">
          <cell r="B154">
            <v>37882</v>
          </cell>
          <cell r="C154">
            <v>22.8</v>
          </cell>
          <cell r="D154">
            <v>22.357142857142858</v>
          </cell>
          <cell r="E154">
            <v>25.73</v>
          </cell>
          <cell r="F154">
            <v>1</v>
          </cell>
          <cell r="H154">
            <v>20.62142857142857</v>
          </cell>
        </row>
        <row r="155">
          <cell r="B155">
            <v>37883</v>
          </cell>
          <cell r="C155">
            <v>22.8</v>
          </cell>
          <cell r="F155">
            <v>1</v>
          </cell>
          <cell r="H155">
            <v>20.692857142857143</v>
          </cell>
        </row>
        <row r="156">
          <cell r="B156">
            <v>37886</v>
          </cell>
          <cell r="C156">
            <v>22.6</v>
          </cell>
          <cell r="D156">
            <v>22.107142857142858</v>
          </cell>
          <cell r="E156">
            <v>25.49</v>
          </cell>
          <cell r="F156">
            <v>1</v>
          </cell>
          <cell r="H156">
            <v>20.335714285714285</v>
          </cell>
        </row>
        <row r="157">
          <cell r="B157">
            <v>37888</v>
          </cell>
          <cell r="C157">
            <v>22.8</v>
          </cell>
          <cell r="D157">
            <v>22.107142857142858</v>
          </cell>
          <cell r="E157">
            <v>25.67</v>
          </cell>
          <cell r="F157">
            <v>1</v>
          </cell>
          <cell r="H157">
            <v>20.478571428571428</v>
          </cell>
        </row>
        <row r="158">
          <cell r="B158">
            <v>37889</v>
          </cell>
          <cell r="C158">
            <v>23.8</v>
          </cell>
          <cell r="D158">
            <v>22.75</v>
          </cell>
          <cell r="E158">
            <v>26.88</v>
          </cell>
          <cell r="F158">
            <v>0.8</v>
          </cell>
          <cell r="H158">
            <v>21.271428571428572</v>
          </cell>
        </row>
        <row r="159">
          <cell r="B159">
            <v>37890</v>
          </cell>
          <cell r="C159">
            <v>23.6</v>
          </cell>
          <cell r="F159">
            <v>1</v>
          </cell>
          <cell r="H159">
            <v>20.900000000000002</v>
          </cell>
        </row>
        <row r="160">
          <cell r="B160">
            <v>37893</v>
          </cell>
          <cell r="C160">
            <v>23.9</v>
          </cell>
          <cell r="D160">
            <v>22.857142857142858</v>
          </cell>
          <cell r="F160">
            <v>1</v>
          </cell>
          <cell r="H160">
            <v>21.292857142857144</v>
          </cell>
        </row>
        <row r="161">
          <cell r="B161">
            <v>37894</v>
          </cell>
          <cell r="C161">
            <v>24</v>
          </cell>
          <cell r="D161">
            <v>23.071428571428573</v>
          </cell>
          <cell r="F161">
            <v>1</v>
          </cell>
          <cell r="H161">
            <v>21.542857142857144</v>
          </cell>
        </row>
        <row r="162">
          <cell r="B162">
            <v>37895</v>
          </cell>
          <cell r="C162">
            <v>24.2</v>
          </cell>
          <cell r="D162">
            <v>23.428571428571427</v>
          </cell>
          <cell r="E162">
            <v>28.26</v>
          </cell>
          <cell r="F162">
            <v>1</v>
          </cell>
          <cell r="H162">
            <v>21.971428571428572</v>
          </cell>
        </row>
        <row r="163">
          <cell r="B163">
            <v>37896</v>
          </cell>
          <cell r="C163">
            <v>24.5</v>
          </cell>
          <cell r="D163">
            <v>23.821428571428573</v>
          </cell>
          <cell r="F163">
            <v>1.2</v>
          </cell>
          <cell r="H163">
            <v>22.364285714285717</v>
          </cell>
        </row>
        <row r="164">
          <cell r="B164">
            <v>37897</v>
          </cell>
          <cell r="C164">
            <v>24.8</v>
          </cell>
          <cell r="E164">
            <v>28.86</v>
          </cell>
          <cell r="F164">
            <v>1.2</v>
          </cell>
          <cell r="H164">
            <v>22.142857142857142</v>
          </cell>
        </row>
        <row r="165">
          <cell r="B165">
            <v>37900</v>
          </cell>
          <cell r="C165">
            <v>25.1</v>
          </cell>
          <cell r="D165">
            <v>24.428571428571427</v>
          </cell>
          <cell r="E165">
            <v>29.29</v>
          </cell>
          <cell r="F165">
            <v>1.3</v>
          </cell>
          <cell r="H165">
            <v>22.821428571428573</v>
          </cell>
        </row>
        <row r="166">
          <cell r="B166">
            <v>37901</v>
          </cell>
          <cell r="C166">
            <v>24.9</v>
          </cell>
          <cell r="D166">
            <v>24.214285714285715</v>
          </cell>
          <cell r="E166">
            <v>29.5</v>
          </cell>
          <cell r="F166">
            <v>1.3</v>
          </cell>
          <cell r="H166">
            <v>22.357142857142858</v>
          </cell>
        </row>
        <row r="167">
          <cell r="B167">
            <v>37902</v>
          </cell>
          <cell r="C167">
            <v>24.9</v>
          </cell>
          <cell r="D167">
            <v>24.071428571428573</v>
          </cell>
          <cell r="E167">
            <v>29.63</v>
          </cell>
          <cell r="F167">
            <v>1.3</v>
          </cell>
          <cell r="H167">
            <v>22.178571428571427</v>
          </cell>
        </row>
        <row r="168">
          <cell r="B168">
            <v>37903</v>
          </cell>
          <cell r="C168">
            <v>24.7</v>
          </cell>
          <cell r="D168">
            <v>23.535714285714285</v>
          </cell>
          <cell r="E168">
            <v>29.13</v>
          </cell>
          <cell r="F168">
            <v>1.3</v>
          </cell>
          <cell r="H168">
            <v>22.035714285714285</v>
          </cell>
        </row>
        <row r="169">
          <cell r="B169">
            <v>37904</v>
          </cell>
          <cell r="C169">
            <v>25.6</v>
          </cell>
          <cell r="D169">
            <v>24.428571428571427</v>
          </cell>
          <cell r="E169">
            <v>30.41</v>
          </cell>
          <cell r="F169">
            <v>1.3</v>
          </cell>
          <cell r="H169">
            <v>22.650000000000002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INPUT"/>
      <sheetName val="PJT검색"/>
      <sheetName val="PJT_LIST"/>
      <sheetName val="사양비교표"/>
      <sheetName val="끝"/>
    </sheetNames>
    <sheetDataSet>
      <sheetData sheetId="0" refreshError="1"/>
      <sheetData sheetId="1" refreshError="1">
        <row r="4">
          <cell r="E4" t="str">
            <v>T01019B</v>
          </cell>
        </row>
        <row r="5">
          <cell r="E5" t="str">
            <v>GE</v>
          </cell>
        </row>
        <row r="6">
          <cell r="E6">
            <v>37117</v>
          </cell>
        </row>
        <row r="7">
          <cell r="E7" t="str">
            <v>GE 7FB</v>
          </cell>
        </row>
        <row r="8">
          <cell r="E8" t="str">
            <v>170MW X 3</v>
          </cell>
        </row>
        <row r="9">
          <cell r="E9" t="str">
            <v>240MW X 1</v>
          </cell>
        </row>
        <row r="10">
          <cell r="E10" t="str">
            <v>HT</v>
          </cell>
        </row>
        <row r="11">
          <cell r="E11" t="str">
            <v>김진일</v>
          </cell>
        </row>
        <row r="12">
          <cell r="E12" t="str">
            <v>NG</v>
          </cell>
          <cell r="G12" t="str">
            <v>NG</v>
          </cell>
        </row>
        <row r="13">
          <cell r="E13">
            <v>452.72</v>
          </cell>
          <cell r="G13">
            <v>3593072.0390400002</v>
          </cell>
        </row>
        <row r="14">
          <cell r="E14">
            <v>626.66999999999996</v>
          </cell>
          <cell r="G14">
            <v>1160.0059999999999</v>
          </cell>
        </row>
        <row r="15">
          <cell r="E15">
            <v>74.44</v>
          </cell>
          <cell r="G15">
            <v>165.99199999999999</v>
          </cell>
        </row>
        <row r="16">
          <cell r="E16">
            <v>15</v>
          </cell>
          <cell r="G16">
            <v>59</v>
          </cell>
        </row>
        <row r="17">
          <cell r="E17">
            <v>42.35</v>
          </cell>
          <cell r="G17">
            <v>17.000560500000002</v>
          </cell>
        </row>
        <row r="18">
          <cell r="E18">
            <v>701.67</v>
          </cell>
          <cell r="G18">
            <v>1295.0059999999999</v>
          </cell>
        </row>
        <row r="19">
          <cell r="E19">
            <v>67.11</v>
          </cell>
          <cell r="G19">
            <v>228.98871539999999</v>
          </cell>
        </row>
        <row r="20">
          <cell r="E20">
            <v>80.86</v>
          </cell>
          <cell r="G20">
            <v>641756.06351999997</v>
          </cell>
        </row>
        <row r="21">
          <cell r="E21">
            <v>566.66999999999996</v>
          </cell>
          <cell r="G21">
            <v>1052.0059999999999</v>
          </cell>
        </row>
        <row r="22">
          <cell r="E22">
            <v>136.22</v>
          </cell>
          <cell r="G22">
            <v>1961.0116660000001</v>
          </cell>
        </row>
        <row r="23">
          <cell r="E23">
            <v>85.27</v>
          </cell>
          <cell r="G23">
            <v>676756.61063999997</v>
          </cell>
        </row>
        <row r="24">
          <cell r="E24">
            <v>566.66999999999996</v>
          </cell>
          <cell r="G24">
            <v>1052.0059999999999</v>
          </cell>
        </row>
        <row r="25">
          <cell r="E25">
            <v>36.450000000000003</v>
          </cell>
          <cell r="G25">
            <v>513.9675400000001</v>
          </cell>
        </row>
        <row r="26">
          <cell r="E26">
            <v>3.89</v>
          </cell>
          <cell r="G26">
            <v>30873.498479999998</v>
          </cell>
        </row>
        <row r="27">
          <cell r="E27">
            <v>332.78</v>
          </cell>
          <cell r="G27">
            <v>631.00400000000002</v>
          </cell>
        </row>
        <row r="28">
          <cell r="E28">
            <v>39.97</v>
          </cell>
          <cell r="G28">
            <v>565.02091599999994</v>
          </cell>
        </row>
        <row r="29">
          <cell r="E29">
            <v>4.8499999999999996</v>
          </cell>
          <cell r="G29">
            <v>38492.665199999996</v>
          </cell>
        </row>
        <row r="30">
          <cell r="E30">
            <v>166.67</v>
          </cell>
          <cell r="G30">
            <v>332.00599999999997</v>
          </cell>
        </row>
        <row r="31">
          <cell r="E31">
            <v>7.36</v>
          </cell>
          <cell r="G31">
            <v>92.051997999999998</v>
          </cell>
        </row>
        <row r="32">
          <cell r="E32">
            <v>50</v>
          </cell>
          <cell r="G32">
            <v>122</v>
          </cell>
        </row>
        <row r="33">
          <cell r="E33">
            <v>38.33</v>
          </cell>
          <cell r="G33">
            <v>100.994</v>
          </cell>
        </row>
        <row r="34">
          <cell r="E34">
            <v>157.38999999999999</v>
          </cell>
          <cell r="G34">
            <v>2268.0571119999995</v>
          </cell>
        </row>
        <row r="35">
          <cell r="E35">
            <v>236.06</v>
          </cell>
          <cell r="G35">
            <v>3409.071058</v>
          </cell>
        </row>
        <row r="36">
          <cell r="E36">
            <v>38.869999999999997</v>
          </cell>
          <cell r="G36">
            <v>549.06673599999999</v>
          </cell>
        </row>
        <row r="37">
          <cell r="E37">
            <v>46.04</v>
          </cell>
          <cell r="G37">
            <v>653.05898200000001</v>
          </cell>
        </row>
        <row r="38">
          <cell r="E38">
            <v>96.71</v>
          </cell>
          <cell r="G38">
            <v>1387.9665279999999</v>
          </cell>
        </row>
        <row r="39">
          <cell r="E39">
            <v>9.36</v>
          </cell>
          <cell r="G39">
            <v>121.05959799999998</v>
          </cell>
        </row>
        <row r="40">
          <cell r="E40">
            <v>37.49</v>
          </cell>
          <cell r="G40">
            <v>529.05149200000005</v>
          </cell>
        </row>
        <row r="41">
          <cell r="E41">
            <v>14</v>
          </cell>
          <cell r="G41">
            <v>14</v>
          </cell>
        </row>
        <row r="42">
          <cell r="E42">
            <v>2</v>
          </cell>
          <cell r="G42">
            <v>2</v>
          </cell>
        </row>
        <row r="43">
          <cell r="E43">
            <v>18.7</v>
          </cell>
          <cell r="G43">
            <v>61.351707999999995</v>
          </cell>
        </row>
        <row r="44">
          <cell r="E44">
            <v>7460</v>
          </cell>
          <cell r="G44">
            <v>24475.0664</v>
          </cell>
        </row>
        <row r="45">
          <cell r="E45">
            <v>28.210999999999999</v>
          </cell>
          <cell r="G45">
            <v>92.555777239999998</v>
          </cell>
        </row>
        <row r="46">
          <cell r="E46">
            <v>84</v>
          </cell>
          <cell r="G46">
            <v>84</v>
          </cell>
        </row>
        <row r="47">
          <cell r="E47">
            <v>89</v>
          </cell>
          <cell r="G47">
            <v>89</v>
          </cell>
        </row>
        <row r="48">
          <cell r="E48">
            <v>7476</v>
          </cell>
          <cell r="G48">
            <v>7476</v>
          </cell>
        </row>
        <row r="49">
          <cell r="E49">
            <v>195036</v>
          </cell>
          <cell r="G49">
            <v>2099349.9507599999</v>
          </cell>
        </row>
        <row r="50">
          <cell r="E50">
            <v>1056000</v>
          </cell>
          <cell r="G50">
            <v>2328078.7200000002</v>
          </cell>
        </row>
        <row r="51">
          <cell r="E51">
            <v>1981</v>
          </cell>
          <cell r="G51">
            <v>77.99212598425197</v>
          </cell>
        </row>
        <row r="52">
          <cell r="E52">
            <v>10209</v>
          </cell>
          <cell r="G52">
            <v>33.494095559999998</v>
          </cell>
        </row>
        <row r="53">
          <cell r="E53" t="str">
            <v>-</v>
          </cell>
          <cell r="G53" t="str">
            <v>-</v>
          </cell>
        </row>
        <row r="54">
          <cell r="E54">
            <v>1549.4</v>
          </cell>
          <cell r="G54">
            <v>61</v>
          </cell>
        </row>
        <row r="55">
          <cell r="E55">
            <v>7000</v>
          </cell>
          <cell r="G55">
            <v>22.965880000000002</v>
          </cell>
        </row>
        <row r="56">
          <cell r="E56">
            <v>5</v>
          </cell>
          <cell r="G56">
            <v>5</v>
          </cell>
        </row>
        <row r="57">
          <cell r="E57">
            <v>2896</v>
          </cell>
          <cell r="G57">
            <v>114.01574803149607</v>
          </cell>
        </row>
        <row r="58">
          <cell r="E58">
            <v>9200</v>
          </cell>
          <cell r="G58">
            <v>30.183727999999999</v>
          </cell>
        </row>
        <row r="59">
          <cell r="E59">
            <v>7</v>
          </cell>
          <cell r="G59">
            <v>7</v>
          </cell>
        </row>
        <row r="60">
          <cell r="E60">
            <v>56.4</v>
          </cell>
          <cell r="G60">
            <v>185.039376</v>
          </cell>
        </row>
        <row r="61">
          <cell r="E61">
            <v>5.6</v>
          </cell>
          <cell r="G61">
            <v>18.372703999999999</v>
          </cell>
        </row>
        <row r="62">
          <cell r="E62" t="str">
            <v>-</v>
          </cell>
          <cell r="G62" t="str">
            <v>-</v>
          </cell>
        </row>
        <row r="63">
          <cell r="E63" t="str">
            <v>X</v>
          </cell>
        </row>
        <row r="64">
          <cell r="E64" t="str">
            <v>O</v>
          </cell>
        </row>
        <row r="65">
          <cell r="E65" t="str">
            <v>X</v>
          </cell>
        </row>
        <row r="66">
          <cell r="E66" t="str">
            <v>X</v>
          </cell>
        </row>
        <row r="67">
          <cell r="E67" t="str">
            <v>X</v>
          </cell>
        </row>
        <row r="68">
          <cell r="E68" t="str">
            <v>O</v>
          </cell>
        </row>
        <row r="69">
          <cell r="E69" t="str">
            <v>X</v>
          </cell>
        </row>
        <row r="70">
          <cell r="E70" t="str">
            <v>X</v>
          </cell>
        </row>
        <row r="71">
          <cell r="E71" t="str">
            <v>X</v>
          </cell>
        </row>
        <row r="72">
          <cell r="E72" t="str">
            <v>X</v>
          </cell>
        </row>
        <row r="73">
          <cell r="E73" t="str">
            <v>X</v>
          </cell>
        </row>
        <row r="74">
          <cell r="E74" t="str">
            <v>O</v>
          </cell>
        </row>
        <row r="75">
          <cell r="E75" t="str">
            <v>O</v>
          </cell>
        </row>
        <row r="76">
          <cell r="E76" t="str">
            <v>X</v>
          </cell>
        </row>
        <row r="77">
          <cell r="E77" t="str">
            <v>X</v>
          </cell>
        </row>
        <row r="78">
          <cell r="E78" t="str">
            <v>X</v>
          </cell>
        </row>
        <row r="79">
          <cell r="E79" t="str">
            <v>X</v>
          </cell>
        </row>
        <row r="80">
          <cell r="E80" t="str">
            <v>O</v>
          </cell>
        </row>
        <row r="81">
          <cell r="E81" t="str">
            <v>X</v>
          </cell>
        </row>
        <row r="82">
          <cell r="E82" t="str">
            <v>X</v>
          </cell>
        </row>
        <row r="83">
          <cell r="E83" t="str">
            <v>X</v>
          </cell>
        </row>
        <row r="84">
          <cell r="E84" t="str">
            <v>X</v>
          </cell>
        </row>
        <row r="85">
          <cell r="E85" t="str">
            <v>O</v>
          </cell>
        </row>
        <row r="86">
          <cell r="E86" t="str">
            <v>X</v>
          </cell>
        </row>
        <row r="87">
          <cell r="E87" t="str">
            <v>X</v>
          </cell>
        </row>
        <row r="88">
          <cell r="E88" t="str">
            <v>X</v>
          </cell>
        </row>
        <row r="89">
          <cell r="E89" t="str">
            <v>X</v>
          </cell>
        </row>
        <row r="90">
          <cell r="E90" t="str">
            <v>X</v>
          </cell>
        </row>
        <row r="91">
          <cell r="E91" t="str">
            <v>X</v>
          </cell>
        </row>
        <row r="92">
          <cell r="E92"/>
        </row>
        <row r="93">
          <cell r="E93"/>
        </row>
        <row r="94">
          <cell r="E94"/>
        </row>
        <row r="95">
          <cell r="E95"/>
        </row>
        <row r="96">
          <cell r="E96"/>
        </row>
        <row r="97">
          <cell r="E97"/>
        </row>
        <row r="98">
          <cell r="E98"/>
        </row>
        <row r="99">
          <cell r="E99"/>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Summary"/>
      <sheetName val="BHUSAWAL"/>
      <sheetName val="F1(Bhu)"/>
      <sheetName val="F2.1(Bhu)"/>
      <sheetName val="F2.2(Bhu)"/>
      <sheetName val="F2.3(Bhu)"/>
      <sheetName val="F2.6(Bhu)"/>
      <sheetName val="F3(Bhu)"/>
      <sheetName val="F3.1(Bhu)"/>
      <sheetName val="F3.2(Bhu)"/>
      <sheetName val="F3.3(Bhu)"/>
      <sheetName val="F4(Bhu)"/>
      <sheetName val="F5(Bhu)"/>
      <sheetName val="F5.1(Bhu)"/>
      <sheetName val="F5.2(Bhu)"/>
      <sheetName val="F5.3(Bhu)"/>
      <sheetName val="F5.4(Bhu)"/>
      <sheetName val="F6(Bhu)"/>
      <sheetName val="F11(Bhu)"/>
      <sheetName val="F12(Bhu)"/>
      <sheetName val="Chandrapur"/>
      <sheetName val="F1(Cha)"/>
      <sheetName val="F2.1(Cha)"/>
      <sheetName val="F2.2(Cha)"/>
      <sheetName val="F2.3(Cha)"/>
      <sheetName val="F2.6(Cha)"/>
      <sheetName val="F3(Cha)"/>
      <sheetName val="F3.1(Cha)"/>
      <sheetName val="F3.2(Cha)"/>
      <sheetName val="F3.3(Cha)"/>
      <sheetName val="F4(Cha)"/>
      <sheetName val="F5(Cha)"/>
      <sheetName val="F5.1(Cha)"/>
      <sheetName val="F5.2(Cha)"/>
      <sheetName val="F5.3(Cha)"/>
      <sheetName val="F5.4(Cha)"/>
      <sheetName val="F6(Cha)"/>
      <sheetName val="F11(Cha)"/>
      <sheetName val="F12(Cha)"/>
      <sheetName val="Koradi"/>
      <sheetName val="F1(Kor)"/>
      <sheetName val="F2.1(Kor)"/>
      <sheetName val="F2.2(Kor)"/>
      <sheetName val="F2.3(Kor)"/>
      <sheetName val="F2.6(Kor)"/>
      <sheetName val="F3(Kor)"/>
      <sheetName val="F3.1(Kor)"/>
      <sheetName val="F3.2(Kor)"/>
      <sheetName val="F3.3(Kor)"/>
      <sheetName val="F4(Kor)"/>
      <sheetName val="F5(Kor)"/>
      <sheetName val="F5.1(Kor)"/>
      <sheetName val="F5.2(Kor)"/>
      <sheetName val="F5.3(Kor)"/>
      <sheetName val="F5.4(Kor)"/>
      <sheetName val="F6(Kor)"/>
      <sheetName val="F11(Kor)"/>
      <sheetName val="F12(Kor)"/>
      <sheetName val="Paras"/>
      <sheetName val="F1(Paras)"/>
      <sheetName val="F2.1(Paras)"/>
      <sheetName val="F2.2(Paras)"/>
      <sheetName val="F2.3(Paras)"/>
      <sheetName val="F2.6(Paras)"/>
      <sheetName val="F3(Paras)"/>
      <sheetName val="F3.1(Paras)"/>
      <sheetName val="F3.2(Paras)"/>
      <sheetName val="F3.3(Paras)"/>
      <sheetName val="F4(Paras)"/>
      <sheetName val="F5(Paras)"/>
      <sheetName val="F5.1(Paras)"/>
      <sheetName val="F5.2(Paras)"/>
      <sheetName val="F5.3(Paras)"/>
      <sheetName val="F5.4(Paras)"/>
      <sheetName val="F6(Paras)"/>
      <sheetName val="F11(Paras)"/>
      <sheetName val="F12(Paras)"/>
      <sheetName val="Parli"/>
      <sheetName val="F1(Parli)"/>
      <sheetName val="F2.1(Parli)"/>
      <sheetName val="F2.2(Parli)"/>
      <sheetName val="F2.3(Parli)"/>
      <sheetName val="F2.6(Parli)"/>
      <sheetName val="F3(Parli)"/>
      <sheetName val="F3.1(Parli)"/>
      <sheetName val="F3.2(Parli)"/>
      <sheetName val="F3.3(Parli)"/>
      <sheetName val="F4(Parli)"/>
      <sheetName val="F5(Parli)"/>
      <sheetName val="F5.1(Parli)"/>
      <sheetName val="F5.2(Parli)"/>
      <sheetName val="F5.3(Parli)"/>
      <sheetName val="F5.4(Parli)"/>
      <sheetName val="F6(Parli)"/>
      <sheetName val="F11(Parli)"/>
      <sheetName val="F12(Parli)"/>
      <sheetName val="Khaperkheda"/>
      <sheetName val="F1(Kha)"/>
      <sheetName val="F2.1(Kha)"/>
      <sheetName val="F2.2(Kha)"/>
      <sheetName val="F2.3(Kha)"/>
      <sheetName val="F2.6(Kha)"/>
      <sheetName val="F3(Kha)"/>
      <sheetName val="F3.1(Kha)"/>
      <sheetName val="F3.2(Kha)"/>
      <sheetName val="F3.3(Kha)"/>
      <sheetName val="F4(Kha)"/>
      <sheetName val="F5(Kha)"/>
      <sheetName val="F5.1(Kha)"/>
      <sheetName val="F5.2(Kha)"/>
      <sheetName val="F5.3(Kha)"/>
      <sheetName val="F5.4(Kha)"/>
      <sheetName val="F6(Kha)"/>
      <sheetName val="F11(Kha)"/>
      <sheetName val="F12(Kha)"/>
      <sheetName val="Nasik"/>
      <sheetName val="F1(Nasi)"/>
      <sheetName val="F2.1(Nasi)"/>
      <sheetName val="F2.2(Nasi)"/>
      <sheetName val="F2.3(Nasi)"/>
      <sheetName val="F2.6(Nasi)"/>
      <sheetName val="F3(Nasi)"/>
      <sheetName val="F3.1(Nasi)"/>
      <sheetName val="F3.2(Nasi)"/>
      <sheetName val="F3.3(Nasi)"/>
      <sheetName val="F4(Nasi)"/>
      <sheetName val="F5(Nasi)"/>
      <sheetName val="F5.1(Nasi)"/>
      <sheetName val="F5.2(Nasi)"/>
      <sheetName val="F5.3(Nasi)"/>
      <sheetName val="F5.4(Nasi)"/>
      <sheetName val="F6(Nasi)"/>
      <sheetName val="F11(Nasi)"/>
      <sheetName val="F12(Nasi)"/>
      <sheetName val="Uran"/>
      <sheetName val="F1(Uran)"/>
      <sheetName val="F2.1(Uran)"/>
      <sheetName val="F2.2(Uran)"/>
      <sheetName val="F2.3(Uran)"/>
      <sheetName val="F2.6(Uran)"/>
      <sheetName val="F3(Uran)"/>
      <sheetName val="F3.1(Uran)"/>
      <sheetName val="F3.2(Uran)"/>
      <sheetName val="F3.3(Uran)"/>
      <sheetName val="F4(Uran)"/>
      <sheetName val="F5(Uran)"/>
      <sheetName val="F5.1(Uran)"/>
      <sheetName val="F5.2(Uran)"/>
      <sheetName val="F5.3(Uran)"/>
      <sheetName val="F5.4(Uran)"/>
      <sheetName val="F6(Uran)"/>
      <sheetName val="F11(Uran)"/>
      <sheetName val="F12(Uran)"/>
      <sheetName val="Hydro"/>
      <sheetName val="F1(Hydro)"/>
      <sheetName val="F2.1(Hydro)"/>
      <sheetName val="F2.3(Hydro)"/>
      <sheetName val="F2.4(Hydro)"/>
      <sheetName val="F2.6(Hydro)"/>
      <sheetName val="F3(Hydro)"/>
      <sheetName val="F3.1(Hydro)"/>
      <sheetName val="F3.2(Hydro)"/>
      <sheetName val="F3.3(Hydro)"/>
      <sheetName val="F4(Hydro)"/>
      <sheetName val="F4(Koyna)"/>
      <sheetName val="F4(PuneHydro)"/>
      <sheetName val="F4(NasikHydro)"/>
      <sheetName val="F5(Hydro)"/>
      <sheetName val="F5.1(Hydro)"/>
      <sheetName val="F5.2(Hydro)"/>
      <sheetName val="F5.3(PuneHydro)"/>
      <sheetName val="F5.4(PuneHydro)"/>
      <sheetName val="F5.3(NasikHydro)"/>
      <sheetName val="F5.4(NasikHydro)"/>
      <sheetName val="F5.3(Koyna)"/>
      <sheetName val="F5.4(Koyna)"/>
      <sheetName val="F6(Hydro)"/>
      <sheetName val="F11(Hydro)"/>
      <sheetName val="F12(Hydro)"/>
    </sheetNames>
    <sheetDataSet>
      <sheetData sheetId="0">
        <row r="3">
          <cell r="B3">
            <v>7.8600000000000003E-2</v>
          </cell>
        </row>
        <row r="6">
          <cell r="B6">
            <v>0.06</v>
          </cell>
        </row>
        <row r="7">
          <cell r="B7">
            <v>0.06</v>
          </cell>
        </row>
        <row r="8">
          <cell r="B8">
            <v>0.06</v>
          </cell>
        </row>
        <row r="9">
          <cell r="B9">
            <v>0.06</v>
          </cell>
        </row>
        <row r="10">
          <cell r="B10">
            <v>0.05</v>
          </cell>
        </row>
        <row r="11">
          <cell r="B11">
            <v>0.12</v>
          </cell>
        </row>
        <row r="12">
          <cell r="B12">
            <v>0.12</v>
          </cell>
        </row>
        <row r="13">
          <cell r="B13">
            <v>1</v>
          </cell>
        </row>
        <row r="16">
          <cell r="B16">
            <v>0.13</v>
          </cell>
        </row>
        <row r="17">
          <cell r="B17">
            <v>0.13</v>
          </cell>
        </row>
        <row r="18">
          <cell r="B18">
            <v>0.13</v>
          </cell>
        </row>
        <row r="20">
          <cell r="B20">
            <v>0.1993</v>
          </cell>
        </row>
        <row r="22">
          <cell r="B22">
            <v>70.004999999999995</v>
          </cell>
        </row>
        <row r="23">
          <cell r="B23">
            <v>358.87740000000002</v>
          </cell>
        </row>
        <row r="25">
          <cell r="B25">
            <v>2E-3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LY -99-00"/>
      <sheetName val="Hydro Data"/>
      <sheetName val="HLY0001"/>
      <sheetName val="SUMMERY"/>
      <sheetName val="mnthly-chrt"/>
      <sheetName val="purchase"/>
      <sheetName val="dpc cost"/>
      <sheetName val="Plant Availability"/>
      <sheetName val="MOD-PROJ"/>
      <sheetName val="Apr-99"/>
      <sheetName val="May-99"/>
      <sheetName val="Jun-99"/>
      <sheetName val="July-99"/>
      <sheetName val="Aug-99"/>
      <sheetName val="Sept-99"/>
      <sheetName val="Oct-99"/>
      <sheetName val="Nov-99"/>
      <sheetName val="Dec-99"/>
      <sheetName val="Jan-00"/>
      <sheetName val="Feb-00"/>
      <sheetName val="Mar-00"/>
      <sheetName val="Sheet1"/>
      <sheetName val="HLY_-99-00"/>
      <sheetName val="Hydro_Data"/>
      <sheetName val="dpc_cost"/>
      <sheetName val="Plant_Availability"/>
      <sheetName val="Bombaybazar(Remark)"/>
      <sheetName val="Assumptions"/>
      <sheetName val="Discom Details"/>
      <sheetName val="A 3.7"/>
      <sheetName val="C.S.GENERATION"/>
      <sheetName val="Cash Flow"/>
      <sheetName val="Sch-3"/>
    </sheetNames>
    <sheetDataSet>
      <sheetData sheetId="0" refreshError="1"/>
      <sheetData sheetId="1" refreshError="1"/>
      <sheetData sheetId="2" refreshError="1"/>
      <sheetData sheetId="3" refreshError="1">
        <row r="1">
          <cell r="P1">
            <v>0.72</v>
          </cell>
        </row>
      </sheetData>
      <sheetData sheetId="4" refreshError="1"/>
      <sheetData sheetId="5" refreshError="1"/>
      <sheetData sheetId="6" refreshError="1">
        <row r="1">
          <cell r="D1">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vel_qty"/>
      <sheetName val="Nov_04"/>
      <sheetName val="Dec_04"/>
      <sheetName val="Assumptions"/>
    </sheetNames>
    <sheetDataSet>
      <sheetData sheetId="0" refreshError="1">
        <row r="8">
          <cell r="B8">
            <v>195</v>
          </cell>
          <cell r="C8">
            <v>1</v>
          </cell>
        </row>
        <row r="9">
          <cell r="B9">
            <v>195.02500000000001</v>
          </cell>
          <cell r="C9">
            <v>1.05</v>
          </cell>
        </row>
        <row r="10">
          <cell r="B10">
            <v>195.05</v>
          </cell>
          <cell r="C10">
            <v>1.1000000000000001</v>
          </cell>
        </row>
        <row r="11">
          <cell r="B11">
            <v>195.07499999999999</v>
          </cell>
          <cell r="C11">
            <v>1.1499999999999999</v>
          </cell>
        </row>
        <row r="12">
          <cell r="B12">
            <v>195.1</v>
          </cell>
          <cell r="C12">
            <v>1.2</v>
          </cell>
        </row>
        <row r="13">
          <cell r="B13">
            <v>195.125</v>
          </cell>
          <cell r="C13">
            <v>1.25</v>
          </cell>
        </row>
        <row r="14">
          <cell r="B14">
            <v>195.15</v>
          </cell>
          <cell r="C14">
            <v>1.3</v>
          </cell>
        </row>
        <row r="15">
          <cell r="B15">
            <v>195.17500000000001</v>
          </cell>
          <cell r="C15">
            <v>1.35</v>
          </cell>
        </row>
        <row r="16">
          <cell r="B16">
            <v>195.2</v>
          </cell>
          <cell r="C16">
            <v>1.4</v>
          </cell>
        </row>
        <row r="17">
          <cell r="B17">
            <v>195.22499999999999</v>
          </cell>
          <cell r="C17">
            <v>1.45</v>
          </cell>
        </row>
        <row r="18">
          <cell r="B18">
            <v>195.25</v>
          </cell>
          <cell r="C18">
            <v>1.5</v>
          </cell>
        </row>
        <row r="19">
          <cell r="B19">
            <v>195.27500000000001</v>
          </cell>
          <cell r="C19">
            <v>1.55</v>
          </cell>
        </row>
        <row r="20">
          <cell r="B20">
            <v>195.3</v>
          </cell>
          <cell r="C20">
            <v>1.6</v>
          </cell>
        </row>
        <row r="21">
          <cell r="B21">
            <v>195.32499999999999</v>
          </cell>
          <cell r="C21">
            <v>1.65</v>
          </cell>
        </row>
        <row r="22">
          <cell r="B22">
            <v>195.35</v>
          </cell>
          <cell r="C22">
            <v>1.7</v>
          </cell>
        </row>
        <row r="23">
          <cell r="B23">
            <v>195.375</v>
          </cell>
          <cell r="C23">
            <v>1.75</v>
          </cell>
        </row>
        <row r="24">
          <cell r="B24">
            <v>195.4</v>
          </cell>
          <cell r="C24">
            <v>1.8</v>
          </cell>
        </row>
        <row r="25">
          <cell r="B25">
            <v>195.42500000000001</v>
          </cell>
          <cell r="C25">
            <v>1.85</v>
          </cell>
        </row>
        <row r="26">
          <cell r="B26">
            <v>195.45</v>
          </cell>
          <cell r="C26">
            <v>1.9</v>
          </cell>
        </row>
        <row r="27">
          <cell r="B27">
            <v>195.47499999999999</v>
          </cell>
          <cell r="C27">
            <v>1.95</v>
          </cell>
        </row>
        <row r="28">
          <cell r="B28">
            <v>195.5</v>
          </cell>
          <cell r="C28">
            <v>2</v>
          </cell>
        </row>
        <row r="29">
          <cell r="B29">
            <v>195.52500000000001</v>
          </cell>
          <cell r="C29">
            <v>2.0499999999999998</v>
          </cell>
        </row>
        <row r="30">
          <cell r="B30">
            <v>195.55</v>
          </cell>
          <cell r="C30">
            <v>2.1</v>
          </cell>
        </row>
        <row r="31">
          <cell r="B31">
            <v>195.57499999999999</v>
          </cell>
          <cell r="C31">
            <v>2.15</v>
          </cell>
        </row>
        <row r="32">
          <cell r="B32">
            <v>195.6</v>
          </cell>
          <cell r="C32">
            <v>2.2000000000000002</v>
          </cell>
        </row>
        <row r="33">
          <cell r="B33">
            <v>195.625</v>
          </cell>
          <cell r="C33">
            <v>2.25</v>
          </cell>
        </row>
        <row r="34">
          <cell r="B34">
            <v>195.65</v>
          </cell>
          <cell r="C34">
            <v>2.2999999999999998</v>
          </cell>
        </row>
        <row r="35">
          <cell r="B35">
            <v>195.67500000000001</v>
          </cell>
          <cell r="C35">
            <v>2.35</v>
          </cell>
        </row>
        <row r="36">
          <cell r="B36">
            <v>195.7</v>
          </cell>
          <cell r="C36">
            <v>2.4</v>
          </cell>
        </row>
        <row r="37">
          <cell r="B37">
            <v>195.72499999999999</v>
          </cell>
          <cell r="C37">
            <v>2.4500000000000002</v>
          </cell>
        </row>
        <row r="38">
          <cell r="B38">
            <v>195.75</v>
          </cell>
          <cell r="C38">
            <v>2.5</v>
          </cell>
        </row>
        <row r="39">
          <cell r="B39">
            <v>195.77500000000001</v>
          </cell>
          <cell r="C39">
            <v>2.5499999999999998</v>
          </cell>
        </row>
        <row r="40">
          <cell r="B40">
            <v>195.8</v>
          </cell>
          <cell r="C40">
            <v>2.6</v>
          </cell>
        </row>
        <row r="41">
          <cell r="B41">
            <v>195.82499999999999</v>
          </cell>
          <cell r="C41">
            <v>2.65</v>
          </cell>
        </row>
        <row r="42">
          <cell r="B42">
            <v>195.85</v>
          </cell>
          <cell r="C42">
            <v>2.7</v>
          </cell>
        </row>
        <row r="43">
          <cell r="B43">
            <v>195.875</v>
          </cell>
          <cell r="C43">
            <v>2.75</v>
          </cell>
        </row>
        <row r="44">
          <cell r="B44">
            <v>195.9</v>
          </cell>
          <cell r="C44">
            <v>2.8</v>
          </cell>
        </row>
        <row r="45">
          <cell r="B45">
            <v>195.92500000000001</v>
          </cell>
          <cell r="C45">
            <v>2.85</v>
          </cell>
        </row>
        <row r="46">
          <cell r="B46">
            <v>195.95</v>
          </cell>
          <cell r="C46">
            <v>2.9</v>
          </cell>
        </row>
        <row r="47">
          <cell r="B47">
            <v>195.97499999999999</v>
          </cell>
          <cell r="C47">
            <v>2.95</v>
          </cell>
        </row>
        <row r="48">
          <cell r="B48">
            <v>196</v>
          </cell>
          <cell r="C48">
            <v>3</v>
          </cell>
        </row>
        <row r="49">
          <cell r="B49">
            <v>196.02500000000001</v>
          </cell>
          <cell r="C49">
            <v>3.0750000000000002</v>
          </cell>
        </row>
        <row r="50">
          <cell r="B50">
            <v>196.05</v>
          </cell>
          <cell r="C50">
            <v>3.15</v>
          </cell>
        </row>
        <row r="51">
          <cell r="B51">
            <v>196.07499999999999</v>
          </cell>
          <cell r="C51">
            <v>3.2250000000000001</v>
          </cell>
        </row>
        <row r="52">
          <cell r="B52">
            <v>196.1</v>
          </cell>
          <cell r="C52">
            <v>3.3</v>
          </cell>
        </row>
        <row r="53">
          <cell r="B53">
            <v>196.125</v>
          </cell>
          <cell r="C53">
            <v>3.375</v>
          </cell>
        </row>
        <row r="54">
          <cell r="B54">
            <v>196.15</v>
          </cell>
          <cell r="C54">
            <v>3.45</v>
          </cell>
        </row>
        <row r="55">
          <cell r="B55">
            <v>196.17500000000001</v>
          </cell>
          <cell r="C55">
            <v>3.5249999999999999</v>
          </cell>
        </row>
        <row r="56">
          <cell r="B56">
            <v>196.2</v>
          </cell>
          <cell r="C56">
            <v>3.6</v>
          </cell>
        </row>
        <row r="57">
          <cell r="B57">
            <v>196.22499999999999</v>
          </cell>
          <cell r="C57">
            <v>3.6749999999999998</v>
          </cell>
        </row>
        <row r="58">
          <cell r="B58">
            <v>196.25</v>
          </cell>
          <cell r="C58">
            <v>3.75</v>
          </cell>
        </row>
        <row r="59">
          <cell r="B59">
            <v>196.27500000000001</v>
          </cell>
          <cell r="C59">
            <v>3.8250000000000002</v>
          </cell>
        </row>
        <row r="60">
          <cell r="B60">
            <v>196.3</v>
          </cell>
          <cell r="C60">
            <v>3.9</v>
          </cell>
        </row>
        <row r="61">
          <cell r="B61">
            <v>196.32499999999999</v>
          </cell>
          <cell r="C61">
            <v>3.9750000000000001</v>
          </cell>
        </row>
        <row r="62">
          <cell r="B62">
            <v>196.35</v>
          </cell>
          <cell r="C62">
            <v>4.05</v>
          </cell>
        </row>
        <row r="63">
          <cell r="B63">
            <v>196.375</v>
          </cell>
          <cell r="C63">
            <v>4.125</v>
          </cell>
        </row>
        <row r="64">
          <cell r="B64">
            <v>196.4</v>
          </cell>
          <cell r="C64">
            <v>4.2</v>
          </cell>
        </row>
        <row r="65">
          <cell r="B65">
            <v>196.42500000000001</v>
          </cell>
          <cell r="C65">
            <v>4.2750000000000004</v>
          </cell>
        </row>
        <row r="66">
          <cell r="B66">
            <v>196.45</v>
          </cell>
          <cell r="C66">
            <v>4.3499999999999996</v>
          </cell>
        </row>
        <row r="67">
          <cell r="B67">
            <v>196.47499999999999</v>
          </cell>
          <cell r="C67">
            <v>4.4249999999999998</v>
          </cell>
        </row>
        <row r="68">
          <cell r="B68">
            <v>196.5</v>
          </cell>
          <cell r="C68">
            <v>4.5</v>
          </cell>
        </row>
        <row r="69">
          <cell r="B69">
            <v>196.52500000000001</v>
          </cell>
          <cell r="C69">
            <v>4.5750000000000002</v>
          </cell>
        </row>
        <row r="70">
          <cell r="B70">
            <v>196.55</v>
          </cell>
          <cell r="C70">
            <v>4.6500000000000004</v>
          </cell>
        </row>
        <row r="71">
          <cell r="B71">
            <v>196.57499999999999</v>
          </cell>
          <cell r="C71">
            <v>4.7249999999999996</v>
          </cell>
        </row>
        <row r="72">
          <cell r="B72">
            <v>196.6</v>
          </cell>
          <cell r="C72">
            <v>4.8</v>
          </cell>
        </row>
        <row r="73">
          <cell r="B73">
            <v>196.625</v>
          </cell>
          <cell r="C73">
            <v>4.875</v>
          </cell>
        </row>
        <row r="74">
          <cell r="B74">
            <v>196.65</v>
          </cell>
          <cell r="C74">
            <v>4.95</v>
          </cell>
        </row>
        <row r="75">
          <cell r="B75">
            <v>196.67500000000001</v>
          </cell>
          <cell r="C75">
            <v>5.0250000000000004</v>
          </cell>
        </row>
        <row r="76">
          <cell r="B76">
            <v>196.7</v>
          </cell>
          <cell r="C76">
            <v>5.0999999999999996</v>
          </cell>
        </row>
        <row r="77">
          <cell r="B77">
            <v>196.72499999999999</v>
          </cell>
          <cell r="C77">
            <v>5.1749999999999998</v>
          </cell>
        </row>
        <row r="78">
          <cell r="B78">
            <v>196.75</v>
          </cell>
          <cell r="C78">
            <v>5.25</v>
          </cell>
        </row>
        <row r="79">
          <cell r="B79">
            <v>196.77500000000001</v>
          </cell>
          <cell r="C79">
            <v>5.3250000000000002</v>
          </cell>
        </row>
        <row r="80">
          <cell r="B80">
            <v>196.8</v>
          </cell>
          <cell r="C80">
            <v>5.4</v>
          </cell>
        </row>
        <row r="81">
          <cell r="B81">
            <v>196.82499999999999</v>
          </cell>
          <cell r="C81">
            <v>5.4749999999999996</v>
          </cell>
        </row>
        <row r="82">
          <cell r="B82">
            <v>196.85</v>
          </cell>
          <cell r="C82">
            <v>5.55</v>
          </cell>
        </row>
        <row r="83">
          <cell r="B83">
            <v>196.875</v>
          </cell>
          <cell r="C83">
            <v>5.625</v>
          </cell>
        </row>
        <row r="84">
          <cell r="B84">
            <v>196.9</v>
          </cell>
          <cell r="C84">
            <v>5.7</v>
          </cell>
        </row>
        <row r="85">
          <cell r="B85">
            <v>196.92500000000001</v>
          </cell>
          <cell r="C85">
            <v>5.7750000000000004</v>
          </cell>
        </row>
        <row r="86">
          <cell r="B86">
            <v>196.95</v>
          </cell>
          <cell r="C86">
            <v>5.85</v>
          </cell>
        </row>
        <row r="87">
          <cell r="B87">
            <v>196.97499999999999</v>
          </cell>
          <cell r="C87">
            <v>5.9249999999999998</v>
          </cell>
        </row>
        <row r="88">
          <cell r="B88">
            <v>197</v>
          </cell>
          <cell r="C88">
            <v>6</v>
          </cell>
        </row>
        <row r="89">
          <cell r="B89">
            <v>197.02500000000001</v>
          </cell>
          <cell r="C89">
            <v>6.125</v>
          </cell>
        </row>
        <row r="90">
          <cell r="B90">
            <v>197.05</v>
          </cell>
          <cell r="C90">
            <v>6.25</v>
          </cell>
        </row>
        <row r="91">
          <cell r="B91">
            <v>197.07499999999999</v>
          </cell>
          <cell r="C91">
            <v>6.375</v>
          </cell>
        </row>
        <row r="92">
          <cell r="B92">
            <v>197.1</v>
          </cell>
          <cell r="C92">
            <v>6.5</v>
          </cell>
        </row>
        <row r="93">
          <cell r="B93">
            <v>197.125</v>
          </cell>
          <cell r="C93">
            <v>6.625</v>
          </cell>
        </row>
        <row r="94">
          <cell r="B94">
            <v>197.15</v>
          </cell>
          <cell r="C94">
            <v>6.75</v>
          </cell>
        </row>
        <row r="95">
          <cell r="B95">
            <v>197.17500000000001</v>
          </cell>
          <cell r="C95">
            <v>6.875</v>
          </cell>
        </row>
        <row r="96">
          <cell r="B96">
            <v>197.2</v>
          </cell>
          <cell r="C96">
            <v>7</v>
          </cell>
        </row>
        <row r="97">
          <cell r="B97">
            <v>197.22499999999999</v>
          </cell>
          <cell r="C97">
            <v>7.125</v>
          </cell>
        </row>
        <row r="98">
          <cell r="B98">
            <v>197.25</v>
          </cell>
          <cell r="C98">
            <v>7.25</v>
          </cell>
        </row>
        <row r="99">
          <cell r="B99">
            <v>197.27500000000001</v>
          </cell>
          <cell r="C99">
            <v>7.375</v>
          </cell>
        </row>
        <row r="100">
          <cell r="B100">
            <v>197.3</v>
          </cell>
          <cell r="C100">
            <v>7.5</v>
          </cell>
        </row>
        <row r="101">
          <cell r="B101">
            <v>197.32499999999999</v>
          </cell>
          <cell r="C101">
            <v>7.625</v>
          </cell>
        </row>
        <row r="102">
          <cell r="B102">
            <v>197.35</v>
          </cell>
          <cell r="C102">
            <v>7.75</v>
          </cell>
        </row>
        <row r="103">
          <cell r="B103">
            <v>197.375</v>
          </cell>
          <cell r="C103">
            <v>7.875</v>
          </cell>
        </row>
        <row r="104">
          <cell r="B104">
            <v>197.4</v>
          </cell>
          <cell r="C104">
            <v>8</v>
          </cell>
        </row>
        <row r="105">
          <cell r="B105">
            <v>197.42500000000001</v>
          </cell>
          <cell r="C105">
            <v>8.125</v>
          </cell>
        </row>
        <row r="106">
          <cell r="B106">
            <v>197.45</v>
          </cell>
          <cell r="C106">
            <v>8.25</v>
          </cell>
        </row>
        <row r="107">
          <cell r="B107">
            <v>197.47499999999999</v>
          </cell>
          <cell r="C107">
            <v>8.375</v>
          </cell>
        </row>
        <row r="108">
          <cell r="B108">
            <v>197.5</v>
          </cell>
          <cell r="C108">
            <v>8.5</v>
          </cell>
        </row>
        <row r="109">
          <cell r="B109">
            <v>197.52500000000001</v>
          </cell>
          <cell r="C109">
            <v>8.625</v>
          </cell>
        </row>
        <row r="110">
          <cell r="B110">
            <v>197.55000000000049</v>
          </cell>
          <cell r="C110">
            <v>8.75</v>
          </cell>
        </row>
        <row r="111">
          <cell r="B111">
            <v>197.5750000000005</v>
          </cell>
          <cell r="C111">
            <v>8.875</v>
          </cell>
        </row>
        <row r="112">
          <cell r="B112">
            <v>197.6</v>
          </cell>
          <cell r="C112">
            <v>9</v>
          </cell>
        </row>
        <row r="113">
          <cell r="B113">
            <v>197.625</v>
          </cell>
          <cell r="C113">
            <v>9.125</v>
          </cell>
        </row>
        <row r="114">
          <cell r="B114">
            <v>197.65</v>
          </cell>
          <cell r="C114">
            <v>9.25</v>
          </cell>
        </row>
        <row r="115">
          <cell r="B115">
            <v>197.67500000000001</v>
          </cell>
          <cell r="C115">
            <v>9.375</v>
          </cell>
        </row>
        <row r="116">
          <cell r="B116">
            <v>197.7</v>
          </cell>
          <cell r="C116">
            <v>9.5</v>
          </cell>
        </row>
        <row r="117">
          <cell r="B117">
            <v>197.72499999999999</v>
          </cell>
          <cell r="C117">
            <v>9.625</v>
          </cell>
        </row>
        <row r="118">
          <cell r="B118">
            <v>197.75</v>
          </cell>
          <cell r="C118">
            <v>9.75</v>
          </cell>
        </row>
        <row r="119">
          <cell r="B119">
            <v>197.77500000000001</v>
          </cell>
          <cell r="C119">
            <v>9.875</v>
          </cell>
        </row>
        <row r="120">
          <cell r="B120">
            <v>197.8</v>
          </cell>
          <cell r="C120">
            <v>10</v>
          </cell>
        </row>
        <row r="121">
          <cell r="B121">
            <v>197.82499999999999</v>
          </cell>
          <cell r="C121">
            <v>10.125</v>
          </cell>
        </row>
        <row r="122">
          <cell r="B122">
            <v>197.85</v>
          </cell>
          <cell r="C122">
            <v>10.25</v>
          </cell>
        </row>
        <row r="123">
          <cell r="B123">
            <v>197.875</v>
          </cell>
          <cell r="C123">
            <v>10.375</v>
          </cell>
        </row>
        <row r="124">
          <cell r="B124">
            <v>197.9</v>
          </cell>
          <cell r="C124">
            <v>10.5</v>
          </cell>
        </row>
        <row r="125">
          <cell r="B125">
            <v>197.92500000000001</v>
          </cell>
          <cell r="C125">
            <v>10.625</v>
          </cell>
        </row>
        <row r="126">
          <cell r="B126">
            <v>197.95</v>
          </cell>
          <cell r="C126">
            <v>10.75</v>
          </cell>
        </row>
        <row r="127">
          <cell r="B127">
            <v>197.97499999999999</v>
          </cell>
          <cell r="C127">
            <v>10.875</v>
          </cell>
        </row>
        <row r="128">
          <cell r="B128">
            <v>198</v>
          </cell>
          <cell r="C128">
            <v>11</v>
          </cell>
        </row>
        <row r="129">
          <cell r="B129">
            <v>198.02500000000001</v>
          </cell>
          <cell r="C129">
            <v>11.15</v>
          </cell>
        </row>
        <row r="130">
          <cell r="B130">
            <v>198.05</v>
          </cell>
          <cell r="C130">
            <v>11.3</v>
          </cell>
        </row>
        <row r="131">
          <cell r="B131">
            <v>198.07499999999999</v>
          </cell>
          <cell r="C131">
            <v>11.45</v>
          </cell>
        </row>
        <row r="132">
          <cell r="B132">
            <v>198.1</v>
          </cell>
          <cell r="C132">
            <v>11.6</v>
          </cell>
        </row>
        <row r="133">
          <cell r="B133">
            <v>198.125</v>
          </cell>
          <cell r="C133">
            <v>11.75</v>
          </cell>
        </row>
        <row r="134">
          <cell r="B134">
            <v>198.15</v>
          </cell>
          <cell r="C134">
            <v>11.9</v>
          </cell>
        </row>
        <row r="135">
          <cell r="B135">
            <v>198.17500000000001</v>
          </cell>
          <cell r="C135">
            <v>12.05</v>
          </cell>
        </row>
        <row r="136">
          <cell r="B136">
            <v>198.2</v>
          </cell>
          <cell r="C136">
            <v>12.2</v>
          </cell>
        </row>
        <row r="137">
          <cell r="B137">
            <v>198.22499999999999</v>
          </cell>
          <cell r="C137">
            <v>12.35</v>
          </cell>
        </row>
        <row r="138">
          <cell r="B138">
            <v>198.25</v>
          </cell>
          <cell r="C138">
            <v>12.5</v>
          </cell>
        </row>
        <row r="139">
          <cell r="B139">
            <v>198.27500000000001</v>
          </cell>
          <cell r="C139">
            <v>12.65</v>
          </cell>
        </row>
        <row r="140">
          <cell r="B140">
            <v>198.3</v>
          </cell>
          <cell r="C140">
            <v>12.8</v>
          </cell>
        </row>
        <row r="141">
          <cell r="B141">
            <v>198.32499999999999</v>
          </cell>
          <cell r="C141">
            <v>12.95</v>
          </cell>
        </row>
        <row r="142">
          <cell r="B142">
            <v>198.35</v>
          </cell>
          <cell r="C142">
            <v>13.1</v>
          </cell>
        </row>
        <row r="143">
          <cell r="B143">
            <v>198.375</v>
          </cell>
          <cell r="C143">
            <v>13.25</v>
          </cell>
        </row>
        <row r="144">
          <cell r="B144">
            <v>198.4</v>
          </cell>
          <cell r="C144">
            <v>13.4</v>
          </cell>
        </row>
        <row r="145">
          <cell r="B145">
            <v>198.42500000000001</v>
          </cell>
          <cell r="C145">
            <v>13.55</v>
          </cell>
        </row>
        <row r="146">
          <cell r="B146">
            <v>198.45</v>
          </cell>
          <cell r="C146">
            <v>13.7</v>
          </cell>
        </row>
        <row r="147">
          <cell r="B147">
            <v>198.47499999999999</v>
          </cell>
          <cell r="C147">
            <v>13.85</v>
          </cell>
        </row>
        <row r="148">
          <cell r="B148">
            <v>198.5</v>
          </cell>
          <cell r="C148">
            <v>14</v>
          </cell>
        </row>
        <row r="149">
          <cell r="B149">
            <v>198.52500000000001</v>
          </cell>
          <cell r="C149">
            <v>14.2</v>
          </cell>
        </row>
        <row r="150">
          <cell r="B150">
            <v>198.55</v>
          </cell>
          <cell r="C150">
            <v>14.4</v>
          </cell>
        </row>
        <row r="151">
          <cell r="B151">
            <v>198.57499999999999</v>
          </cell>
          <cell r="C151">
            <v>14.6</v>
          </cell>
        </row>
        <row r="152">
          <cell r="B152">
            <v>198.6</v>
          </cell>
          <cell r="C152">
            <v>14.8</v>
          </cell>
        </row>
        <row r="153">
          <cell r="B153">
            <v>198.625</v>
          </cell>
          <cell r="C153">
            <v>15</v>
          </cell>
        </row>
        <row r="154">
          <cell r="B154">
            <v>198.65</v>
          </cell>
          <cell r="C154">
            <v>15.2</v>
          </cell>
        </row>
        <row r="155">
          <cell r="B155">
            <v>198.67500000000001</v>
          </cell>
          <cell r="C155">
            <v>15.4</v>
          </cell>
        </row>
        <row r="156">
          <cell r="B156">
            <v>198.7</v>
          </cell>
          <cell r="C156">
            <v>15.6</v>
          </cell>
        </row>
        <row r="157">
          <cell r="B157">
            <v>198.72499999999999</v>
          </cell>
          <cell r="C157">
            <v>15.8</v>
          </cell>
        </row>
        <row r="158">
          <cell r="B158">
            <v>198.75</v>
          </cell>
          <cell r="C158">
            <v>16</v>
          </cell>
        </row>
        <row r="159">
          <cell r="B159">
            <v>198.77500000000001</v>
          </cell>
          <cell r="C159">
            <v>16.2</v>
          </cell>
        </row>
        <row r="160">
          <cell r="B160">
            <v>198.8</v>
          </cell>
          <cell r="C160">
            <v>16.399999999999999</v>
          </cell>
        </row>
        <row r="161">
          <cell r="B161">
            <v>198.82499999999999</v>
          </cell>
          <cell r="C161">
            <v>16.600000000000001</v>
          </cell>
        </row>
        <row r="162">
          <cell r="B162">
            <v>198.85</v>
          </cell>
          <cell r="C162">
            <v>16.8</v>
          </cell>
        </row>
        <row r="163">
          <cell r="B163">
            <v>198.875</v>
          </cell>
          <cell r="C163">
            <v>17</v>
          </cell>
        </row>
        <row r="164">
          <cell r="B164">
            <v>198.9</v>
          </cell>
          <cell r="C164">
            <v>17.2</v>
          </cell>
        </row>
        <row r="165">
          <cell r="B165">
            <v>198.92500000000001</v>
          </cell>
          <cell r="C165">
            <v>17.399999999999999</v>
          </cell>
        </row>
        <row r="166">
          <cell r="B166">
            <v>198.95</v>
          </cell>
          <cell r="C166">
            <v>17.600000000000001</v>
          </cell>
        </row>
        <row r="167">
          <cell r="B167">
            <v>198.97499999999999</v>
          </cell>
          <cell r="C167">
            <v>17.8</v>
          </cell>
        </row>
        <row r="168">
          <cell r="B168">
            <v>199</v>
          </cell>
          <cell r="C168">
            <v>18</v>
          </cell>
        </row>
        <row r="169">
          <cell r="B169">
            <v>199.02500000000001</v>
          </cell>
          <cell r="C169">
            <v>18.2</v>
          </cell>
        </row>
        <row r="170">
          <cell r="B170">
            <v>199.05</v>
          </cell>
          <cell r="C170">
            <v>18.399999999999999</v>
          </cell>
        </row>
        <row r="171">
          <cell r="B171">
            <v>199.07499999999999</v>
          </cell>
          <cell r="C171">
            <v>18.600000000000001</v>
          </cell>
        </row>
        <row r="172">
          <cell r="B172">
            <v>199.1</v>
          </cell>
          <cell r="C172">
            <v>18.8</v>
          </cell>
        </row>
        <row r="173">
          <cell r="B173">
            <v>199.125</v>
          </cell>
          <cell r="C173">
            <v>19</v>
          </cell>
        </row>
        <row r="174">
          <cell r="B174">
            <v>199.15</v>
          </cell>
          <cell r="C174">
            <v>19.2</v>
          </cell>
        </row>
        <row r="175">
          <cell r="B175">
            <v>199.17500000000001</v>
          </cell>
          <cell r="C175">
            <v>19.399999999999999</v>
          </cell>
        </row>
        <row r="176">
          <cell r="B176">
            <v>199.2</v>
          </cell>
          <cell r="C176">
            <v>19.600000000000001</v>
          </cell>
        </row>
        <row r="177">
          <cell r="B177">
            <v>199.22499999999999</v>
          </cell>
          <cell r="C177">
            <v>19.8</v>
          </cell>
        </row>
        <row r="178">
          <cell r="B178">
            <v>199.25</v>
          </cell>
          <cell r="C178">
            <v>20</v>
          </cell>
        </row>
        <row r="179">
          <cell r="B179">
            <v>199.27500000000001</v>
          </cell>
          <cell r="C179">
            <v>20.2</v>
          </cell>
        </row>
        <row r="180">
          <cell r="B180">
            <v>199.3</v>
          </cell>
          <cell r="C180">
            <v>20.399999999999999</v>
          </cell>
        </row>
        <row r="181">
          <cell r="B181">
            <v>199.32499999999999</v>
          </cell>
          <cell r="C181">
            <v>20.6</v>
          </cell>
        </row>
        <row r="182">
          <cell r="B182">
            <v>199.35</v>
          </cell>
          <cell r="C182">
            <v>20.8</v>
          </cell>
        </row>
        <row r="183">
          <cell r="B183">
            <v>199.375</v>
          </cell>
          <cell r="C183">
            <v>21</v>
          </cell>
        </row>
        <row r="184">
          <cell r="B184">
            <v>199.4</v>
          </cell>
          <cell r="C184">
            <v>21.2</v>
          </cell>
        </row>
        <row r="185">
          <cell r="B185">
            <v>199.42500000000001</v>
          </cell>
          <cell r="C185">
            <v>21.4</v>
          </cell>
        </row>
        <row r="186">
          <cell r="B186">
            <v>199.45</v>
          </cell>
          <cell r="C186">
            <v>21.6</v>
          </cell>
        </row>
        <row r="187">
          <cell r="B187">
            <v>199.47499999999999</v>
          </cell>
          <cell r="C187">
            <v>21.8</v>
          </cell>
        </row>
        <row r="188">
          <cell r="B188">
            <v>199.5</v>
          </cell>
          <cell r="C188">
            <v>22</v>
          </cell>
        </row>
        <row r="189">
          <cell r="B189">
            <v>199.52500000000001</v>
          </cell>
          <cell r="C189">
            <v>22.274999999999999</v>
          </cell>
        </row>
        <row r="190">
          <cell r="B190">
            <v>199.55</v>
          </cell>
          <cell r="C190">
            <v>22.55</v>
          </cell>
        </row>
        <row r="191">
          <cell r="B191">
            <v>199.57499999999999</v>
          </cell>
          <cell r="C191">
            <v>22.824999999999999</v>
          </cell>
        </row>
        <row r="192">
          <cell r="B192">
            <v>199.6</v>
          </cell>
          <cell r="C192">
            <v>23.1</v>
          </cell>
        </row>
        <row r="193">
          <cell r="B193">
            <v>199.625</v>
          </cell>
          <cell r="C193">
            <v>23.375</v>
          </cell>
        </row>
        <row r="194">
          <cell r="B194">
            <v>199.65</v>
          </cell>
          <cell r="C194">
            <v>23.65</v>
          </cell>
        </row>
        <row r="195">
          <cell r="B195">
            <v>199.67500000000001</v>
          </cell>
          <cell r="C195">
            <v>23.925000000000001</v>
          </cell>
        </row>
        <row r="196">
          <cell r="B196">
            <v>199.7</v>
          </cell>
          <cell r="C196">
            <v>24.2</v>
          </cell>
        </row>
        <row r="197">
          <cell r="B197">
            <v>199.72499999999999</v>
          </cell>
          <cell r="C197">
            <v>24.475000000000001</v>
          </cell>
        </row>
        <row r="198">
          <cell r="B198">
            <v>199.75</v>
          </cell>
          <cell r="C198">
            <v>24.75</v>
          </cell>
        </row>
        <row r="199">
          <cell r="B199">
            <v>199.77500000000001</v>
          </cell>
          <cell r="C199">
            <v>25.024999999999999</v>
          </cell>
        </row>
        <row r="200">
          <cell r="B200">
            <v>199.8</v>
          </cell>
          <cell r="C200">
            <v>25.3</v>
          </cell>
        </row>
        <row r="201">
          <cell r="B201">
            <v>199.82499999999999</v>
          </cell>
          <cell r="C201">
            <v>25.574999999999999</v>
          </cell>
        </row>
        <row r="202">
          <cell r="B202">
            <v>199.85</v>
          </cell>
          <cell r="C202">
            <v>25.85</v>
          </cell>
        </row>
        <row r="203">
          <cell r="B203">
            <v>199.875</v>
          </cell>
          <cell r="C203">
            <v>26.125</v>
          </cell>
        </row>
        <row r="204">
          <cell r="B204">
            <v>199.9</v>
          </cell>
          <cell r="C204">
            <v>26.4</v>
          </cell>
        </row>
        <row r="205">
          <cell r="B205">
            <v>199.92500000000001</v>
          </cell>
          <cell r="C205">
            <v>26.675000000000001</v>
          </cell>
        </row>
        <row r="206">
          <cell r="B206">
            <v>199.95</v>
          </cell>
          <cell r="C206">
            <v>26.95</v>
          </cell>
        </row>
        <row r="207">
          <cell r="B207">
            <v>199.97499999999999</v>
          </cell>
          <cell r="C207">
            <v>27.225000000000001</v>
          </cell>
        </row>
        <row r="208">
          <cell r="B208">
            <v>200</v>
          </cell>
          <cell r="C208">
            <v>27.5</v>
          </cell>
        </row>
        <row r="209">
          <cell r="B209">
            <v>200.02500000000001</v>
          </cell>
          <cell r="C209">
            <v>27.8</v>
          </cell>
        </row>
        <row r="210">
          <cell r="B210">
            <v>200.05</v>
          </cell>
          <cell r="C210">
            <v>28.1</v>
          </cell>
        </row>
        <row r="211">
          <cell r="B211">
            <v>200.07499999999999</v>
          </cell>
          <cell r="C211">
            <v>28.4</v>
          </cell>
        </row>
        <row r="212">
          <cell r="B212">
            <v>200.1</v>
          </cell>
          <cell r="C212">
            <v>28.7</v>
          </cell>
        </row>
        <row r="213">
          <cell r="B213">
            <v>200.12500000000108</v>
          </cell>
          <cell r="C213">
            <v>29</v>
          </cell>
        </row>
        <row r="214">
          <cell r="B214">
            <v>200.15000000000109</v>
          </cell>
          <cell r="C214">
            <v>29.3</v>
          </cell>
        </row>
        <row r="215">
          <cell r="B215">
            <v>200.17500000000109</v>
          </cell>
          <cell r="C215">
            <v>29.6</v>
          </cell>
        </row>
        <row r="216">
          <cell r="B216">
            <v>200.2000000000011</v>
          </cell>
          <cell r="C216">
            <v>29.9</v>
          </cell>
        </row>
        <row r="217">
          <cell r="B217">
            <v>200.2250000000011</v>
          </cell>
          <cell r="C217">
            <v>30.2</v>
          </cell>
        </row>
        <row r="218">
          <cell r="B218">
            <v>200.25000000000111</v>
          </cell>
          <cell r="C218">
            <v>30.5</v>
          </cell>
        </row>
        <row r="219">
          <cell r="B219">
            <v>200.27500000000111</v>
          </cell>
          <cell r="C219">
            <v>30.8</v>
          </cell>
        </row>
        <row r="220">
          <cell r="B220">
            <v>200.30000000000112</v>
          </cell>
          <cell r="C220">
            <v>31.1</v>
          </cell>
        </row>
        <row r="221">
          <cell r="B221">
            <v>200.32500000000113</v>
          </cell>
          <cell r="C221">
            <v>31.4</v>
          </cell>
        </row>
        <row r="222">
          <cell r="B222">
            <v>200.35000000000113</v>
          </cell>
          <cell r="C222">
            <v>31.7</v>
          </cell>
        </row>
        <row r="223">
          <cell r="B223">
            <v>200.37500000000114</v>
          </cell>
          <cell r="C223">
            <v>32</v>
          </cell>
        </row>
        <row r="224">
          <cell r="B224">
            <v>200.40000000000114</v>
          </cell>
          <cell r="C224">
            <v>32.299999999999997</v>
          </cell>
        </row>
        <row r="225">
          <cell r="B225">
            <v>200.42500000000115</v>
          </cell>
          <cell r="C225">
            <v>32.6</v>
          </cell>
        </row>
        <row r="226">
          <cell r="B226">
            <v>200.45000000000115</v>
          </cell>
          <cell r="C226">
            <v>32.9</v>
          </cell>
        </row>
        <row r="227">
          <cell r="B227">
            <v>200.47500000000116</v>
          </cell>
          <cell r="C227">
            <v>33.200000000000003</v>
          </cell>
        </row>
        <row r="228">
          <cell r="B228">
            <v>200.5</v>
          </cell>
          <cell r="C228">
            <v>33.49999999999995</v>
          </cell>
        </row>
        <row r="229">
          <cell r="B229">
            <v>200.52500000000001</v>
          </cell>
          <cell r="C229">
            <v>33.87499999999995</v>
          </cell>
        </row>
        <row r="230">
          <cell r="B230">
            <v>200.55</v>
          </cell>
          <cell r="C230">
            <v>34.24999999999995</v>
          </cell>
        </row>
        <row r="231">
          <cell r="B231">
            <v>200.57499999999999</v>
          </cell>
          <cell r="C231">
            <v>34.62499999999995</v>
          </cell>
        </row>
        <row r="232">
          <cell r="B232">
            <v>200.6</v>
          </cell>
          <cell r="C232">
            <v>34.99999999999995</v>
          </cell>
        </row>
        <row r="233">
          <cell r="B233">
            <v>200.625</v>
          </cell>
          <cell r="C233">
            <v>35.37499999999995</v>
          </cell>
        </row>
        <row r="234">
          <cell r="B234">
            <v>200.65</v>
          </cell>
          <cell r="C234">
            <v>35.74999999999995</v>
          </cell>
        </row>
        <row r="235">
          <cell r="B235">
            <v>200.67500000000001</v>
          </cell>
          <cell r="C235">
            <v>36.12499999999995</v>
          </cell>
        </row>
        <row r="236">
          <cell r="B236">
            <v>200.7</v>
          </cell>
          <cell r="C236">
            <v>36.49999999999995</v>
          </cell>
        </row>
        <row r="237">
          <cell r="B237">
            <v>200.72499999999999</v>
          </cell>
          <cell r="C237">
            <v>36.87499999999995</v>
          </cell>
        </row>
        <row r="238">
          <cell r="B238">
            <v>200.75</v>
          </cell>
          <cell r="C238">
            <v>37.24999999999995</v>
          </cell>
        </row>
        <row r="239">
          <cell r="B239">
            <v>200.77500000000001</v>
          </cell>
          <cell r="C239">
            <v>37.62499999999995</v>
          </cell>
        </row>
        <row r="240">
          <cell r="B240">
            <v>200.8</v>
          </cell>
          <cell r="C240">
            <v>37.99999999999995</v>
          </cell>
        </row>
        <row r="241">
          <cell r="B241">
            <v>200.82499999999999</v>
          </cell>
          <cell r="C241">
            <v>38.37499999999995</v>
          </cell>
        </row>
        <row r="242">
          <cell r="B242">
            <v>200.85</v>
          </cell>
          <cell r="C242">
            <v>38.74999999999995</v>
          </cell>
        </row>
        <row r="243">
          <cell r="B243">
            <v>200.875</v>
          </cell>
          <cell r="C243">
            <v>39.12499999999995</v>
          </cell>
        </row>
        <row r="244">
          <cell r="B244">
            <v>200.9</v>
          </cell>
          <cell r="C244">
            <v>39.49999999999995</v>
          </cell>
        </row>
        <row r="245">
          <cell r="B245">
            <v>200.92500000000001</v>
          </cell>
          <cell r="C245">
            <v>39.87499999999995</v>
          </cell>
        </row>
        <row r="246">
          <cell r="B246">
            <v>200.95</v>
          </cell>
          <cell r="C246">
            <v>40.24999999999995</v>
          </cell>
        </row>
        <row r="247">
          <cell r="B247">
            <v>200.97499999999999</v>
          </cell>
          <cell r="C247">
            <v>40.62499999999995</v>
          </cell>
        </row>
        <row r="248">
          <cell r="B248">
            <v>201</v>
          </cell>
          <cell r="C248">
            <v>41</v>
          </cell>
        </row>
        <row r="249">
          <cell r="B249">
            <v>201.02500000000001</v>
          </cell>
          <cell r="C249">
            <v>41.375</v>
          </cell>
        </row>
        <row r="250">
          <cell r="B250">
            <v>201.05</v>
          </cell>
          <cell r="C250">
            <v>41.75</v>
          </cell>
        </row>
        <row r="251">
          <cell r="B251">
            <v>201.07499999999999</v>
          </cell>
          <cell r="C251">
            <v>42.125</v>
          </cell>
        </row>
        <row r="252">
          <cell r="B252">
            <v>201.1</v>
          </cell>
          <cell r="C252">
            <v>42.5</v>
          </cell>
        </row>
        <row r="253">
          <cell r="B253">
            <v>201.125</v>
          </cell>
          <cell r="C253">
            <v>42.875</v>
          </cell>
        </row>
        <row r="254">
          <cell r="B254">
            <v>201.15</v>
          </cell>
          <cell r="C254">
            <v>43.25</v>
          </cell>
        </row>
        <row r="255">
          <cell r="B255">
            <v>201.17500000000001</v>
          </cell>
          <cell r="C255">
            <v>43.625</v>
          </cell>
        </row>
        <row r="256">
          <cell r="B256">
            <v>201.2</v>
          </cell>
          <cell r="C256">
            <v>44</v>
          </cell>
        </row>
        <row r="257">
          <cell r="B257">
            <v>201.22499999999999</v>
          </cell>
          <cell r="C257">
            <v>44.375</v>
          </cell>
        </row>
        <row r="258">
          <cell r="B258">
            <v>201.25</v>
          </cell>
          <cell r="C258">
            <v>44.75</v>
          </cell>
        </row>
        <row r="259">
          <cell r="B259">
            <v>201.27500000000001</v>
          </cell>
          <cell r="C259">
            <v>45.125</v>
          </cell>
        </row>
        <row r="260">
          <cell r="B260">
            <v>201.3</v>
          </cell>
          <cell r="C260">
            <v>45.5</v>
          </cell>
        </row>
        <row r="261">
          <cell r="B261">
            <v>201.32499999999999</v>
          </cell>
          <cell r="C261">
            <v>45.875</v>
          </cell>
        </row>
        <row r="262">
          <cell r="B262">
            <v>201.35</v>
          </cell>
          <cell r="C262">
            <v>46.25</v>
          </cell>
        </row>
        <row r="263">
          <cell r="B263">
            <v>201.375</v>
          </cell>
          <cell r="C263">
            <v>46.625</v>
          </cell>
        </row>
        <row r="264">
          <cell r="B264">
            <v>201.4</v>
          </cell>
          <cell r="C264">
            <v>47</v>
          </cell>
        </row>
        <row r="265">
          <cell r="B265">
            <v>201.42500000000001</v>
          </cell>
          <cell r="C265">
            <v>47.375</v>
          </cell>
        </row>
        <row r="266">
          <cell r="B266">
            <v>201.45</v>
          </cell>
          <cell r="C266">
            <v>47.75</v>
          </cell>
        </row>
        <row r="267">
          <cell r="B267">
            <v>201.47499999999999</v>
          </cell>
          <cell r="C267">
            <v>48.125</v>
          </cell>
        </row>
        <row r="268">
          <cell r="B268">
            <v>201.5</v>
          </cell>
          <cell r="C268">
            <v>48.5</v>
          </cell>
        </row>
        <row r="269">
          <cell r="B269">
            <v>201.52500000000001</v>
          </cell>
          <cell r="C269">
            <v>48.924999999999997</v>
          </cell>
        </row>
        <row r="270">
          <cell r="B270">
            <v>201.55</v>
          </cell>
          <cell r="C270">
            <v>49.35</v>
          </cell>
        </row>
        <row r="271">
          <cell r="B271">
            <v>201.57499999999999</v>
          </cell>
          <cell r="C271">
            <v>49.774999999999999</v>
          </cell>
        </row>
        <row r="272">
          <cell r="B272">
            <v>201.6</v>
          </cell>
          <cell r="C272">
            <v>50.2</v>
          </cell>
        </row>
        <row r="273">
          <cell r="B273">
            <v>201.625</v>
          </cell>
          <cell r="C273">
            <v>50.625</v>
          </cell>
        </row>
        <row r="274">
          <cell r="B274">
            <v>201.65</v>
          </cell>
          <cell r="C274">
            <v>51.05</v>
          </cell>
        </row>
        <row r="275">
          <cell r="B275">
            <v>201.67500000000001</v>
          </cell>
          <cell r="C275">
            <v>51.475000000000001</v>
          </cell>
        </row>
        <row r="276">
          <cell r="B276">
            <v>201.7</v>
          </cell>
          <cell r="C276">
            <v>51.9</v>
          </cell>
        </row>
        <row r="277">
          <cell r="B277">
            <v>201.72499999999999</v>
          </cell>
          <cell r="C277">
            <v>52.325000000000003</v>
          </cell>
        </row>
        <row r="278">
          <cell r="B278">
            <v>201.75</v>
          </cell>
          <cell r="C278">
            <v>52.75</v>
          </cell>
        </row>
        <row r="279">
          <cell r="B279">
            <v>201.77500000000001</v>
          </cell>
          <cell r="C279">
            <v>53.174999999999997</v>
          </cell>
        </row>
        <row r="280">
          <cell r="B280">
            <v>201.8</v>
          </cell>
          <cell r="C280">
            <v>53.6</v>
          </cell>
        </row>
        <row r="281">
          <cell r="B281">
            <v>201.82499999999999</v>
          </cell>
          <cell r="C281">
            <v>54.024999999999999</v>
          </cell>
        </row>
        <row r="282">
          <cell r="B282">
            <v>201.85</v>
          </cell>
          <cell r="C282">
            <v>54.45</v>
          </cell>
        </row>
        <row r="283">
          <cell r="B283">
            <v>201.875</v>
          </cell>
          <cell r="C283">
            <v>54.875</v>
          </cell>
        </row>
        <row r="284">
          <cell r="B284">
            <v>201.9</v>
          </cell>
          <cell r="C284">
            <v>55.3</v>
          </cell>
        </row>
        <row r="285">
          <cell r="B285">
            <v>201.92500000000001</v>
          </cell>
          <cell r="C285">
            <v>55.725000000000001</v>
          </cell>
        </row>
        <row r="286">
          <cell r="B286">
            <v>201.95</v>
          </cell>
          <cell r="C286">
            <v>56.15</v>
          </cell>
        </row>
        <row r="287">
          <cell r="B287">
            <v>201.97499999999999</v>
          </cell>
          <cell r="C287">
            <v>56.575000000000003</v>
          </cell>
        </row>
        <row r="288">
          <cell r="B288">
            <v>202</v>
          </cell>
          <cell r="C288">
            <v>57</v>
          </cell>
        </row>
        <row r="289">
          <cell r="B289">
            <v>202.02500000000001</v>
          </cell>
          <cell r="C289">
            <v>57.475000000000001</v>
          </cell>
        </row>
        <row r="290">
          <cell r="B290">
            <v>202.05</v>
          </cell>
          <cell r="C290">
            <v>57.95</v>
          </cell>
        </row>
        <row r="291">
          <cell r="B291">
            <v>202.07499999999999</v>
          </cell>
          <cell r="C291">
            <v>58.424999999999997</v>
          </cell>
        </row>
        <row r="292">
          <cell r="B292">
            <v>202.1</v>
          </cell>
          <cell r="C292">
            <v>58.9</v>
          </cell>
        </row>
        <row r="293">
          <cell r="B293">
            <v>202.125</v>
          </cell>
          <cell r="C293">
            <v>59.375</v>
          </cell>
        </row>
        <row r="294">
          <cell r="B294">
            <v>202.15</v>
          </cell>
          <cell r="C294">
            <v>59.85</v>
          </cell>
        </row>
        <row r="295">
          <cell r="B295">
            <v>202.17500000000001</v>
          </cell>
          <cell r="C295">
            <v>60.325000000000003</v>
          </cell>
        </row>
        <row r="296">
          <cell r="B296">
            <v>202.2</v>
          </cell>
          <cell r="C296">
            <v>60.8</v>
          </cell>
        </row>
        <row r="297">
          <cell r="B297">
            <v>202.22499999999999</v>
          </cell>
          <cell r="C297">
            <v>61.274999999999999</v>
          </cell>
        </row>
        <row r="298">
          <cell r="B298">
            <v>202.25</v>
          </cell>
          <cell r="C298">
            <v>61.75</v>
          </cell>
        </row>
        <row r="299">
          <cell r="B299">
            <v>202.27500000000001</v>
          </cell>
          <cell r="C299">
            <v>62.225000000000001</v>
          </cell>
        </row>
        <row r="300">
          <cell r="B300">
            <v>202.3</v>
          </cell>
          <cell r="C300">
            <v>62.7</v>
          </cell>
        </row>
        <row r="301">
          <cell r="B301">
            <v>202.32499999999999</v>
          </cell>
          <cell r="C301">
            <v>63.174999999999997</v>
          </cell>
        </row>
        <row r="302">
          <cell r="B302">
            <v>202.35</v>
          </cell>
          <cell r="C302">
            <v>63.65</v>
          </cell>
        </row>
        <row r="303">
          <cell r="B303">
            <v>202.375</v>
          </cell>
          <cell r="C303">
            <v>64.125</v>
          </cell>
        </row>
        <row r="304">
          <cell r="B304">
            <v>202.4</v>
          </cell>
          <cell r="C304">
            <v>64.599999999999994</v>
          </cell>
        </row>
        <row r="305">
          <cell r="B305">
            <v>202.42500000000001</v>
          </cell>
          <cell r="C305">
            <v>65.075000000000003</v>
          </cell>
        </row>
        <row r="306">
          <cell r="B306">
            <v>202.45</v>
          </cell>
          <cell r="C306">
            <v>65.55</v>
          </cell>
        </row>
        <row r="307">
          <cell r="B307">
            <v>202.47499999999999</v>
          </cell>
          <cell r="C307">
            <v>66.025000000000006</v>
          </cell>
        </row>
        <row r="308">
          <cell r="B308">
            <v>202.5</v>
          </cell>
          <cell r="C308">
            <v>66.5</v>
          </cell>
        </row>
        <row r="309">
          <cell r="B309">
            <v>202.52500000000001</v>
          </cell>
          <cell r="C309">
            <v>67.099999999999994</v>
          </cell>
        </row>
        <row r="310">
          <cell r="B310">
            <v>202.55</v>
          </cell>
          <cell r="C310">
            <v>67.7</v>
          </cell>
        </row>
        <row r="311">
          <cell r="B311">
            <v>202.57499999999999</v>
          </cell>
          <cell r="C311">
            <v>68.3</v>
          </cell>
        </row>
        <row r="312">
          <cell r="B312">
            <v>202.6</v>
          </cell>
          <cell r="C312">
            <v>68.900000000000006</v>
          </cell>
        </row>
        <row r="313">
          <cell r="B313">
            <v>202.625</v>
          </cell>
          <cell r="C313">
            <v>69.5</v>
          </cell>
        </row>
        <row r="314">
          <cell r="B314">
            <v>202.65</v>
          </cell>
          <cell r="C314">
            <v>70.099999999999994</v>
          </cell>
        </row>
        <row r="315">
          <cell r="B315">
            <v>202.67500000000001</v>
          </cell>
          <cell r="C315">
            <v>70.7</v>
          </cell>
        </row>
        <row r="316">
          <cell r="B316">
            <v>202.7</v>
          </cell>
          <cell r="C316">
            <v>71.3</v>
          </cell>
        </row>
        <row r="317">
          <cell r="B317">
            <v>202.72499999999999</v>
          </cell>
          <cell r="C317">
            <v>71.900000000000006</v>
          </cell>
        </row>
        <row r="318">
          <cell r="B318">
            <v>202.75</v>
          </cell>
          <cell r="C318">
            <v>72.5</v>
          </cell>
        </row>
        <row r="319">
          <cell r="B319">
            <v>202.77500000000001</v>
          </cell>
          <cell r="C319">
            <v>73.099999999999994</v>
          </cell>
        </row>
        <row r="320">
          <cell r="B320">
            <v>202.8</v>
          </cell>
          <cell r="C320">
            <v>73.7</v>
          </cell>
        </row>
        <row r="321">
          <cell r="B321">
            <v>202.82499999999999</v>
          </cell>
          <cell r="C321">
            <v>74.3</v>
          </cell>
        </row>
        <row r="322">
          <cell r="B322">
            <v>202.85</v>
          </cell>
          <cell r="C322">
            <v>74.900000000000006</v>
          </cell>
        </row>
        <row r="323">
          <cell r="B323">
            <v>202.875</v>
          </cell>
          <cell r="C323">
            <v>75.5</v>
          </cell>
        </row>
        <row r="324">
          <cell r="B324">
            <v>202.9</v>
          </cell>
          <cell r="C324">
            <v>76.099999999999994</v>
          </cell>
        </row>
        <row r="325">
          <cell r="B325">
            <v>202.92500000000001</v>
          </cell>
          <cell r="C325">
            <v>76.7</v>
          </cell>
        </row>
        <row r="326">
          <cell r="B326">
            <v>202.95</v>
          </cell>
          <cell r="C326">
            <v>77.3</v>
          </cell>
        </row>
        <row r="327">
          <cell r="B327">
            <v>202.97499999999999</v>
          </cell>
          <cell r="C327">
            <v>77.900000000000006</v>
          </cell>
        </row>
        <row r="328">
          <cell r="B328">
            <v>203</v>
          </cell>
          <cell r="C328">
            <v>78.5</v>
          </cell>
        </row>
        <row r="329">
          <cell r="B329">
            <v>203.02500000000001</v>
          </cell>
          <cell r="C329">
            <v>79.075000000000003</v>
          </cell>
        </row>
        <row r="330">
          <cell r="B330">
            <v>203.05</v>
          </cell>
          <cell r="C330">
            <v>79.650000000000006</v>
          </cell>
        </row>
        <row r="331">
          <cell r="B331">
            <v>203.07499999999999</v>
          </cell>
          <cell r="C331">
            <v>80.224999999999994</v>
          </cell>
        </row>
        <row r="332">
          <cell r="B332">
            <v>203.1</v>
          </cell>
          <cell r="C332">
            <v>80.8</v>
          </cell>
        </row>
        <row r="333">
          <cell r="B333">
            <v>203.125</v>
          </cell>
          <cell r="C333">
            <v>81.375</v>
          </cell>
        </row>
        <row r="334">
          <cell r="B334">
            <v>203.15</v>
          </cell>
          <cell r="C334">
            <v>81.95</v>
          </cell>
        </row>
        <row r="335">
          <cell r="B335">
            <v>203.17500000000001</v>
          </cell>
          <cell r="C335">
            <v>82.525000000000006</v>
          </cell>
        </row>
        <row r="336">
          <cell r="B336">
            <v>203.2</v>
          </cell>
          <cell r="C336">
            <v>83.1</v>
          </cell>
        </row>
        <row r="337">
          <cell r="B337">
            <v>203.22499999999999</v>
          </cell>
          <cell r="C337">
            <v>83.674999999999997</v>
          </cell>
        </row>
        <row r="338">
          <cell r="B338">
            <v>203.25</v>
          </cell>
          <cell r="C338">
            <v>84.25</v>
          </cell>
        </row>
        <row r="339">
          <cell r="B339">
            <v>203.27500000000001</v>
          </cell>
          <cell r="C339">
            <v>84.825000000000003</v>
          </cell>
        </row>
        <row r="340">
          <cell r="B340">
            <v>203.3</v>
          </cell>
          <cell r="C340">
            <v>85.4</v>
          </cell>
        </row>
        <row r="341">
          <cell r="B341">
            <v>203.32499999999999</v>
          </cell>
          <cell r="C341">
            <v>85.974999999999994</v>
          </cell>
        </row>
        <row r="342">
          <cell r="B342">
            <v>203.35</v>
          </cell>
          <cell r="C342">
            <v>86.55</v>
          </cell>
        </row>
        <row r="343">
          <cell r="B343">
            <v>203.375</v>
          </cell>
          <cell r="C343">
            <v>87.125</v>
          </cell>
        </row>
        <row r="344">
          <cell r="B344">
            <v>203.4</v>
          </cell>
          <cell r="C344">
            <v>87.7</v>
          </cell>
        </row>
        <row r="345">
          <cell r="B345">
            <v>203.42500000000001</v>
          </cell>
          <cell r="C345">
            <v>88.275000000000006</v>
          </cell>
        </row>
        <row r="346">
          <cell r="B346">
            <v>203.45</v>
          </cell>
          <cell r="C346">
            <v>88.85</v>
          </cell>
        </row>
        <row r="347">
          <cell r="B347">
            <v>203.47499999999999</v>
          </cell>
          <cell r="C347">
            <v>89.424999999999997</v>
          </cell>
        </row>
        <row r="348">
          <cell r="B348">
            <v>203.5</v>
          </cell>
          <cell r="C348">
            <v>90</v>
          </cell>
        </row>
        <row r="349">
          <cell r="B349">
            <v>203.52500000000001</v>
          </cell>
          <cell r="C349">
            <v>90.8</v>
          </cell>
        </row>
        <row r="350">
          <cell r="B350">
            <v>203.55</v>
          </cell>
          <cell r="C350">
            <v>91.6</v>
          </cell>
        </row>
        <row r="351">
          <cell r="B351">
            <v>203.57499999999999</v>
          </cell>
          <cell r="C351">
            <v>92.4</v>
          </cell>
        </row>
        <row r="352">
          <cell r="B352">
            <v>203.6</v>
          </cell>
          <cell r="C352">
            <v>93.2</v>
          </cell>
        </row>
        <row r="353">
          <cell r="B353">
            <v>203.625</v>
          </cell>
          <cell r="C353">
            <v>94</v>
          </cell>
        </row>
        <row r="354">
          <cell r="B354">
            <v>203.65</v>
          </cell>
          <cell r="C354">
            <v>94.8</v>
          </cell>
        </row>
        <row r="355">
          <cell r="B355">
            <v>203.67500000000001</v>
          </cell>
          <cell r="C355">
            <v>95.6</v>
          </cell>
        </row>
        <row r="356">
          <cell r="B356">
            <v>203.7</v>
          </cell>
          <cell r="C356">
            <v>96.4</v>
          </cell>
        </row>
        <row r="357">
          <cell r="B357">
            <v>203.72499999999999</v>
          </cell>
          <cell r="C357">
            <v>97.2</v>
          </cell>
        </row>
        <row r="358">
          <cell r="B358">
            <v>203.75</v>
          </cell>
          <cell r="C358">
            <v>98</v>
          </cell>
        </row>
        <row r="359">
          <cell r="B359">
            <v>203.77500000000001</v>
          </cell>
          <cell r="C359">
            <v>98.8</v>
          </cell>
        </row>
        <row r="360">
          <cell r="B360">
            <v>203.8</v>
          </cell>
          <cell r="C360">
            <v>99.6</v>
          </cell>
        </row>
        <row r="361">
          <cell r="B361">
            <v>203.82499999999999</v>
          </cell>
          <cell r="C361">
            <v>100.4</v>
          </cell>
        </row>
        <row r="362">
          <cell r="B362">
            <v>203.85</v>
          </cell>
          <cell r="C362">
            <v>101.2</v>
          </cell>
        </row>
        <row r="363">
          <cell r="B363">
            <v>203.875</v>
          </cell>
          <cell r="C363">
            <v>102</v>
          </cell>
        </row>
        <row r="364">
          <cell r="B364">
            <v>203.9</v>
          </cell>
          <cell r="C364">
            <v>102.8</v>
          </cell>
        </row>
        <row r="365">
          <cell r="B365">
            <v>203.92500000000001</v>
          </cell>
          <cell r="C365">
            <v>103.6</v>
          </cell>
        </row>
        <row r="366">
          <cell r="B366">
            <v>203.95</v>
          </cell>
          <cell r="C366">
            <v>104.4</v>
          </cell>
        </row>
        <row r="367">
          <cell r="B367">
            <v>203.97499999999999</v>
          </cell>
          <cell r="C367">
            <v>105.2</v>
          </cell>
        </row>
        <row r="368">
          <cell r="B368">
            <v>204</v>
          </cell>
          <cell r="C368">
            <v>106</v>
          </cell>
        </row>
        <row r="369">
          <cell r="B369">
            <v>204.02500000000001</v>
          </cell>
          <cell r="C369">
            <v>106.825</v>
          </cell>
        </row>
        <row r="370">
          <cell r="B370">
            <v>204.05</v>
          </cell>
          <cell r="C370">
            <v>107.65</v>
          </cell>
        </row>
        <row r="371">
          <cell r="B371">
            <v>204.07499999999999</v>
          </cell>
          <cell r="C371">
            <v>108.47499999999999</v>
          </cell>
        </row>
        <row r="372">
          <cell r="B372">
            <v>204.1</v>
          </cell>
          <cell r="C372">
            <v>109.3</v>
          </cell>
        </row>
        <row r="373">
          <cell r="B373">
            <v>204.125</v>
          </cell>
          <cell r="C373">
            <v>110.125</v>
          </cell>
        </row>
        <row r="374">
          <cell r="B374">
            <v>204.15</v>
          </cell>
          <cell r="C374">
            <v>110.95</v>
          </cell>
        </row>
        <row r="375">
          <cell r="B375">
            <v>204.17500000000001</v>
          </cell>
          <cell r="C375">
            <v>111.77500000000001</v>
          </cell>
        </row>
        <row r="376">
          <cell r="B376">
            <v>204.2</v>
          </cell>
          <cell r="C376">
            <v>112.6</v>
          </cell>
        </row>
        <row r="377">
          <cell r="B377">
            <v>204.22499999999999</v>
          </cell>
          <cell r="C377">
            <v>113.425</v>
          </cell>
        </row>
        <row r="378">
          <cell r="B378">
            <v>204.25</v>
          </cell>
          <cell r="C378">
            <v>114.25</v>
          </cell>
        </row>
        <row r="379">
          <cell r="B379">
            <v>204.27500000000001</v>
          </cell>
          <cell r="C379">
            <v>115.075</v>
          </cell>
        </row>
        <row r="380">
          <cell r="B380">
            <v>204.3</v>
          </cell>
          <cell r="C380">
            <v>115.9</v>
          </cell>
        </row>
        <row r="381">
          <cell r="B381">
            <v>204.32499999999999</v>
          </cell>
          <cell r="C381">
            <v>116.72499999999999</v>
          </cell>
        </row>
        <row r="382">
          <cell r="B382">
            <v>204.35</v>
          </cell>
          <cell r="C382">
            <v>117.55</v>
          </cell>
        </row>
        <row r="383">
          <cell r="B383">
            <v>204.375</v>
          </cell>
          <cell r="C383">
            <v>118.375</v>
          </cell>
        </row>
        <row r="384">
          <cell r="B384">
            <v>204.4</v>
          </cell>
          <cell r="C384">
            <v>119.2</v>
          </cell>
        </row>
        <row r="385">
          <cell r="B385">
            <v>204.42500000000001</v>
          </cell>
          <cell r="C385">
            <v>120.02500000000001</v>
          </cell>
        </row>
        <row r="386">
          <cell r="B386">
            <v>204.45</v>
          </cell>
          <cell r="C386">
            <v>120.85</v>
          </cell>
        </row>
        <row r="387">
          <cell r="B387">
            <v>204.47499999999999</v>
          </cell>
          <cell r="C387">
            <v>121.675</v>
          </cell>
        </row>
        <row r="388">
          <cell r="B388">
            <v>204.5</v>
          </cell>
          <cell r="C388">
            <v>122.5</v>
          </cell>
        </row>
        <row r="389">
          <cell r="B389">
            <v>204.52500000000001</v>
          </cell>
          <cell r="C389">
            <v>123.375</v>
          </cell>
        </row>
        <row r="390">
          <cell r="B390">
            <v>204.55</v>
          </cell>
          <cell r="C390">
            <v>124.25</v>
          </cell>
        </row>
        <row r="391">
          <cell r="B391">
            <v>204.57499999999999</v>
          </cell>
          <cell r="C391">
            <v>125.125</v>
          </cell>
        </row>
        <row r="392">
          <cell r="B392">
            <v>204.6</v>
          </cell>
          <cell r="C392">
            <v>126</v>
          </cell>
        </row>
        <row r="393">
          <cell r="B393">
            <v>204.625</v>
          </cell>
          <cell r="C393">
            <v>126.875</v>
          </cell>
        </row>
        <row r="394">
          <cell r="B394">
            <v>204.65</v>
          </cell>
          <cell r="C394">
            <v>127.75</v>
          </cell>
        </row>
        <row r="395">
          <cell r="B395">
            <v>204.67500000000001</v>
          </cell>
          <cell r="C395">
            <v>128.625</v>
          </cell>
        </row>
        <row r="396">
          <cell r="B396">
            <v>204.7</v>
          </cell>
          <cell r="C396">
            <v>129.5</v>
          </cell>
        </row>
        <row r="397">
          <cell r="B397">
            <v>204.72499999999999</v>
          </cell>
          <cell r="C397">
            <v>130.375</v>
          </cell>
        </row>
        <row r="398">
          <cell r="B398">
            <v>204.75</v>
          </cell>
          <cell r="C398">
            <v>131.25</v>
          </cell>
        </row>
        <row r="399">
          <cell r="B399">
            <v>204.77500000000001</v>
          </cell>
          <cell r="C399">
            <v>132.125</v>
          </cell>
        </row>
        <row r="400">
          <cell r="B400">
            <v>204.8</v>
          </cell>
          <cell r="C400">
            <v>133</v>
          </cell>
        </row>
        <row r="401">
          <cell r="B401">
            <v>204.82499999999999</v>
          </cell>
          <cell r="C401">
            <v>133.875</v>
          </cell>
        </row>
        <row r="402">
          <cell r="B402">
            <v>204.85</v>
          </cell>
          <cell r="C402">
            <v>134.75</v>
          </cell>
        </row>
        <row r="403">
          <cell r="B403">
            <v>204.875</v>
          </cell>
          <cell r="C403">
            <v>135.625</v>
          </cell>
        </row>
        <row r="404">
          <cell r="B404">
            <v>204.9</v>
          </cell>
          <cell r="C404">
            <v>136.5</v>
          </cell>
        </row>
        <row r="405">
          <cell r="B405">
            <v>204.92500000000001</v>
          </cell>
          <cell r="C405">
            <v>137.375</v>
          </cell>
        </row>
        <row r="406">
          <cell r="B406">
            <v>204.95</v>
          </cell>
          <cell r="C406">
            <v>138.25</v>
          </cell>
        </row>
        <row r="407">
          <cell r="B407">
            <v>204.97499999999999</v>
          </cell>
          <cell r="C407">
            <v>139.125</v>
          </cell>
        </row>
        <row r="408">
          <cell r="B408">
            <v>205</v>
          </cell>
          <cell r="C408">
            <v>140</v>
          </cell>
        </row>
        <row r="409">
          <cell r="B409">
            <v>205.02500000000001</v>
          </cell>
          <cell r="C409">
            <v>141</v>
          </cell>
        </row>
        <row r="410">
          <cell r="B410">
            <v>205.05</v>
          </cell>
          <cell r="C410">
            <v>142</v>
          </cell>
        </row>
        <row r="411">
          <cell r="B411">
            <v>205.07499999999999</v>
          </cell>
          <cell r="C411">
            <v>143</v>
          </cell>
        </row>
        <row r="412">
          <cell r="B412">
            <v>205.1</v>
          </cell>
          <cell r="C412">
            <v>144</v>
          </cell>
        </row>
        <row r="413">
          <cell r="B413">
            <v>205.125</v>
          </cell>
          <cell r="C413">
            <v>145</v>
          </cell>
        </row>
        <row r="414">
          <cell r="B414">
            <v>205.15</v>
          </cell>
          <cell r="C414">
            <v>146</v>
          </cell>
        </row>
        <row r="415">
          <cell r="B415">
            <v>205.17500000000001</v>
          </cell>
          <cell r="C415">
            <v>147</v>
          </cell>
        </row>
        <row r="416">
          <cell r="B416">
            <v>205.2</v>
          </cell>
          <cell r="C416">
            <v>148</v>
          </cell>
        </row>
        <row r="417">
          <cell r="B417">
            <v>205.22499999999999</v>
          </cell>
          <cell r="C417">
            <v>149</v>
          </cell>
        </row>
        <row r="418">
          <cell r="B418">
            <v>205.25</v>
          </cell>
          <cell r="C418">
            <v>150</v>
          </cell>
        </row>
        <row r="419">
          <cell r="B419">
            <v>205.27500000000001</v>
          </cell>
          <cell r="C419">
            <v>151</v>
          </cell>
        </row>
        <row r="420">
          <cell r="B420">
            <v>205.3</v>
          </cell>
          <cell r="C420">
            <v>152</v>
          </cell>
        </row>
        <row r="421">
          <cell r="B421">
            <v>205.32499999999999</v>
          </cell>
          <cell r="C421">
            <v>153</v>
          </cell>
        </row>
        <row r="422">
          <cell r="B422">
            <v>205.35</v>
          </cell>
          <cell r="C422">
            <v>154</v>
          </cell>
        </row>
        <row r="423">
          <cell r="B423">
            <v>205.375</v>
          </cell>
          <cell r="C423">
            <v>155</v>
          </cell>
        </row>
        <row r="424">
          <cell r="B424">
            <v>205.4</v>
          </cell>
          <cell r="C424">
            <v>156</v>
          </cell>
        </row>
        <row r="425">
          <cell r="B425">
            <v>205.42500000000001</v>
          </cell>
          <cell r="C425">
            <v>157</v>
          </cell>
        </row>
        <row r="426">
          <cell r="B426">
            <v>205.45</v>
          </cell>
          <cell r="C426">
            <v>158</v>
          </cell>
        </row>
        <row r="427">
          <cell r="B427">
            <v>205.47499999999999</v>
          </cell>
          <cell r="C427">
            <v>159</v>
          </cell>
        </row>
        <row r="428">
          <cell r="B428">
            <v>205.5</v>
          </cell>
          <cell r="C428">
            <v>160</v>
          </cell>
        </row>
        <row r="429">
          <cell r="B429">
            <v>205.52500000000001</v>
          </cell>
          <cell r="C429">
            <v>161</v>
          </cell>
        </row>
        <row r="430">
          <cell r="B430">
            <v>205.55</v>
          </cell>
          <cell r="C430">
            <v>162</v>
          </cell>
        </row>
        <row r="431">
          <cell r="B431">
            <v>205.57499999999999</v>
          </cell>
          <cell r="C431">
            <v>163</v>
          </cell>
        </row>
        <row r="432">
          <cell r="B432">
            <v>205.6</v>
          </cell>
          <cell r="C432">
            <v>164</v>
          </cell>
        </row>
        <row r="433">
          <cell r="B433">
            <v>205.625</v>
          </cell>
          <cell r="C433">
            <v>165</v>
          </cell>
        </row>
        <row r="434">
          <cell r="B434">
            <v>205.65</v>
          </cell>
          <cell r="C434">
            <v>166</v>
          </cell>
        </row>
        <row r="435">
          <cell r="B435">
            <v>205.67500000000001</v>
          </cell>
          <cell r="C435">
            <v>167</v>
          </cell>
        </row>
        <row r="436">
          <cell r="B436">
            <v>205.7</v>
          </cell>
          <cell r="C436">
            <v>168</v>
          </cell>
        </row>
        <row r="437">
          <cell r="B437">
            <v>205.72499999999999</v>
          </cell>
          <cell r="C437">
            <v>169</v>
          </cell>
        </row>
        <row r="438">
          <cell r="B438">
            <v>205.75</v>
          </cell>
          <cell r="C438">
            <v>170</v>
          </cell>
        </row>
        <row r="439">
          <cell r="B439">
            <v>205.77500000000001</v>
          </cell>
          <cell r="C439">
            <v>171</v>
          </cell>
        </row>
        <row r="440">
          <cell r="B440">
            <v>205.8</v>
          </cell>
          <cell r="C440">
            <v>172</v>
          </cell>
        </row>
        <row r="441">
          <cell r="B441">
            <v>205.82499999999999</v>
          </cell>
          <cell r="C441">
            <v>173</v>
          </cell>
        </row>
        <row r="442">
          <cell r="B442">
            <v>205.85</v>
          </cell>
          <cell r="C442">
            <v>174</v>
          </cell>
        </row>
        <row r="443">
          <cell r="B443">
            <v>205.875</v>
          </cell>
          <cell r="C443">
            <v>175</v>
          </cell>
        </row>
        <row r="444">
          <cell r="B444">
            <v>205.9</v>
          </cell>
          <cell r="C444">
            <v>176</v>
          </cell>
        </row>
        <row r="445">
          <cell r="B445">
            <v>205.92500000000001</v>
          </cell>
          <cell r="C445">
            <v>177</v>
          </cell>
        </row>
        <row r="446">
          <cell r="B446">
            <v>205.95</v>
          </cell>
          <cell r="C446">
            <v>178</v>
          </cell>
        </row>
        <row r="447">
          <cell r="B447">
            <v>205.97499999999999</v>
          </cell>
          <cell r="C447">
            <v>179</v>
          </cell>
        </row>
        <row r="448">
          <cell r="B448">
            <v>206</v>
          </cell>
          <cell r="C448">
            <v>180</v>
          </cell>
        </row>
        <row r="449">
          <cell r="B449">
            <v>206.02500000000001</v>
          </cell>
          <cell r="C449">
            <v>181.15</v>
          </cell>
        </row>
        <row r="450">
          <cell r="B450">
            <v>206.05</v>
          </cell>
          <cell r="C450">
            <v>182.3</v>
          </cell>
        </row>
        <row r="451">
          <cell r="B451">
            <v>206.07499999999999</v>
          </cell>
          <cell r="C451">
            <v>183.45</v>
          </cell>
        </row>
        <row r="452">
          <cell r="B452">
            <v>206.1</v>
          </cell>
          <cell r="C452">
            <v>184.6</v>
          </cell>
        </row>
        <row r="453">
          <cell r="B453">
            <v>206.125</v>
          </cell>
          <cell r="C453">
            <v>185.75</v>
          </cell>
        </row>
        <row r="454">
          <cell r="B454">
            <v>206.15</v>
          </cell>
          <cell r="C454">
            <v>186.9</v>
          </cell>
        </row>
        <row r="455">
          <cell r="B455">
            <v>206.17500000000001</v>
          </cell>
          <cell r="C455">
            <v>188.05</v>
          </cell>
        </row>
        <row r="456">
          <cell r="B456">
            <v>206.2</v>
          </cell>
          <cell r="C456">
            <v>189.2</v>
          </cell>
        </row>
        <row r="457">
          <cell r="B457">
            <v>206.22499999999999</v>
          </cell>
          <cell r="C457">
            <v>190.35</v>
          </cell>
        </row>
        <row r="458">
          <cell r="B458">
            <v>206.25</v>
          </cell>
          <cell r="C458">
            <v>191.5</v>
          </cell>
        </row>
        <row r="459">
          <cell r="B459">
            <v>206.27500000000001</v>
          </cell>
          <cell r="C459">
            <v>192.65</v>
          </cell>
        </row>
        <row r="460">
          <cell r="B460">
            <v>206.3</v>
          </cell>
          <cell r="C460">
            <v>193.8</v>
          </cell>
        </row>
        <row r="461">
          <cell r="B461">
            <v>206.32499999999999</v>
          </cell>
          <cell r="C461">
            <v>194.95</v>
          </cell>
        </row>
        <row r="462">
          <cell r="B462">
            <v>206.35</v>
          </cell>
          <cell r="C462">
            <v>196.1</v>
          </cell>
        </row>
        <row r="463">
          <cell r="B463">
            <v>206.375</v>
          </cell>
          <cell r="C463">
            <v>197.25</v>
          </cell>
        </row>
        <row r="464">
          <cell r="B464">
            <v>206.4</v>
          </cell>
          <cell r="C464">
            <v>198.4</v>
          </cell>
        </row>
        <row r="465">
          <cell r="B465">
            <v>206.42500000000001</v>
          </cell>
          <cell r="C465">
            <v>199.55</v>
          </cell>
        </row>
        <row r="466">
          <cell r="B466">
            <v>206.45</v>
          </cell>
          <cell r="C466">
            <v>200.7</v>
          </cell>
        </row>
        <row r="467">
          <cell r="B467">
            <v>206.47499999999999</v>
          </cell>
          <cell r="C467">
            <v>201.85</v>
          </cell>
        </row>
        <row r="468">
          <cell r="B468">
            <v>206.5</v>
          </cell>
          <cell r="C468">
            <v>203</v>
          </cell>
        </row>
        <row r="469">
          <cell r="B469">
            <v>206.52500000000001</v>
          </cell>
          <cell r="C469">
            <v>204.17500000000001</v>
          </cell>
        </row>
        <row r="470">
          <cell r="B470">
            <v>206.55</v>
          </cell>
          <cell r="C470">
            <v>205.35</v>
          </cell>
        </row>
        <row r="471">
          <cell r="B471">
            <v>206.57499999999999</v>
          </cell>
          <cell r="C471">
            <v>206.52500000000001</v>
          </cell>
        </row>
        <row r="472">
          <cell r="B472">
            <v>206.6</v>
          </cell>
          <cell r="C472">
            <v>207.7</v>
          </cell>
        </row>
        <row r="473">
          <cell r="B473">
            <v>206.625</v>
          </cell>
          <cell r="C473">
            <v>208.875</v>
          </cell>
        </row>
        <row r="474">
          <cell r="B474">
            <v>206.65</v>
          </cell>
          <cell r="C474">
            <v>210.05</v>
          </cell>
        </row>
        <row r="475">
          <cell r="B475">
            <v>206.67500000000001</v>
          </cell>
          <cell r="C475">
            <v>211.22499999999999</v>
          </cell>
        </row>
        <row r="476">
          <cell r="B476">
            <v>206.7</v>
          </cell>
          <cell r="C476">
            <v>212.4</v>
          </cell>
        </row>
        <row r="477">
          <cell r="B477">
            <v>206.72499999999999</v>
          </cell>
          <cell r="C477">
            <v>213.57499999999999</v>
          </cell>
        </row>
        <row r="478">
          <cell r="B478">
            <v>206.75</v>
          </cell>
          <cell r="C478">
            <v>214.75</v>
          </cell>
        </row>
        <row r="479">
          <cell r="B479">
            <v>206.77500000000001</v>
          </cell>
          <cell r="C479">
            <v>215.92500000000001</v>
          </cell>
        </row>
        <row r="480">
          <cell r="B480">
            <v>206.8</v>
          </cell>
          <cell r="C480">
            <v>217.1</v>
          </cell>
        </row>
        <row r="481">
          <cell r="B481">
            <v>206.82499999999999</v>
          </cell>
          <cell r="C481">
            <v>218.27500000000001</v>
          </cell>
        </row>
        <row r="482">
          <cell r="B482">
            <v>206.85</v>
          </cell>
          <cell r="C482">
            <v>219.45</v>
          </cell>
        </row>
        <row r="483">
          <cell r="B483">
            <v>206.875</v>
          </cell>
          <cell r="C483">
            <v>220.625</v>
          </cell>
        </row>
        <row r="484">
          <cell r="B484">
            <v>206.9</v>
          </cell>
          <cell r="C484">
            <v>221.8</v>
          </cell>
        </row>
        <row r="485">
          <cell r="B485">
            <v>206.92500000000001</v>
          </cell>
          <cell r="C485">
            <v>222.97499999999999</v>
          </cell>
        </row>
        <row r="486">
          <cell r="B486">
            <v>206.95</v>
          </cell>
          <cell r="C486">
            <v>224.15</v>
          </cell>
        </row>
        <row r="487">
          <cell r="B487">
            <v>206.97499999999999</v>
          </cell>
          <cell r="C487">
            <v>225.32499999999999</v>
          </cell>
        </row>
        <row r="488">
          <cell r="B488">
            <v>207</v>
          </cell>
          <cell r="C488">
            <v>226.5</v>
          </cell>
        </row>
        <row r="489">
          <cell r="B489">
            <v>207.02500000000001</v>
          </cell>
          <cell r="C489">
            <v>227.8</v>
          </cell>
        </row>
        <row r="490">
          <cell r="B490">
            <v>207.05</v>
          </cell>
          <cell r="C490">
            <v>229.1</v>
          </cell>
        </row>
        <row r="491">
          <cell r="B491">
            <v>207.07499999999999</v>
          </cell>
          <cell r="C491">
            <v>230.4</v>
          </cell>
        </row>
        <row r="492">
          <cell r="B492">
            <v>207.1</v>
          </cell>
          <cell r="C492">
            <v>231.7</v>
          </cell>
        </row>
        <row r="493">
          <cell r="B493">
            <v>207.125</v>
          </cell>
          <cell r="C493">
            <v>233</v>
          </cell>
        </row>
        <row r="494">
          <cell r="B494">
            <v>207.15</v>
          </cell>
          <cell r="C494">
            <v>234.3</v>
          </cell>
        </row>
        <row r="495">
          <cell r="B495">
            <v>207.17500000000001</v>
          </cell>
          <cell r="C495">
            <v>235.6</v>
          </cell>
        </row>
        <row r="496">
          <cell r="B496">
            <v>207.2</v>
          </cell>
          <cell r="C496">
            <v>236.9</v>
          </cell>
        </row>
        <row r="497">
          <cell r="B497">
            <v>207.22499999999999</v>
          </cell>
          <cell r="C497">
            <v>238.2</v>
          </cell>
        </row>
        <row r="498">
          <cell r="B498">
            <v>207.25</v>
          </cell>
          <cell r="C498">
            <v>239.5</v>
          </cell>
        </row>
        <row r="499">
          <cell r="B499">
            <v>207.27500000000001</v>
          </cell>
          <cell r="C499">
            <v>240.8</v>
          </cell>
        </row>
        <row r="500">
          <cell r="B500">
            <v>207.3</v>
          </cell>
          <cell r="C500">
            <v>242.1</v>
          </cell>
        </row>
        <row r="501">
          <cell r="B501">
            <v>207.32499999999999</v>
          </cell>
          <cell r="C501">
            <v>243.4</v>
          </cell>
        </row>
        <row r="502">
          <cell r="B502">
            <v>207.35</v>
          </cell>
          <cell r="C502">
            <v>244.7</v>
          </cell>
        </row>
        <row r="503">
          <cell r="B503">
            <v>207.375</v>
          </cell>
          <cell r="C503">
            <v>246</v>
          </cell>
        </row>
        <row r="504">
          <cell r="B504">
            <v>207.4</v>
          </cell>
          <cell r="C504">
            <v>247.3</v>
          </cell>
        </row>
        <row r="505">
          <cell r="B505">
            <v>207.42500000000001</v>
          </cell>
          <cell r="C505">
            <v>248.6</v>
          </cell>
        </row>
        <row r="506">
          <cell r="B506">
            <v>207.45</v>
          </cell>
          <cell r="C506">
            <v>249.9</v>
          </cell>
        </row>
        <row r="507">
          <cell r="B507">
            <v>207.47499999999999</v>
          </cell>
          <cell r="C507">
            <v>251.2</v>
          </cell>
        </row>
        <row r="508">
          <cell r="B508">
            <v>207.5</v>
          </cell>
          <cell r="C508">
            <v>252.5</v>
          </cell>
        </row>
        <row r="509">
          <cell r="B509">
            <v>207.52500000000001</v>
          </cell>
          <cell r="C509">
            <v>253.92500000000001</v>
          </cell>
        </row>
        <row r="510">
          <cell r="B510">
            <v>207.55</v>
          </cell>
          <cell r="C510">
            <v>255.35</v>
          </cell>
        </row>
        <row r="511">
          <cell r="B511">
            <v>207.57499999999999</v>
          </cell>
          <cell r="C511">
            <v>256.77499999999998</v>
          </cell>
        </row>
        <row r="512">
          <cell r="B512">
            <v>207.6</v>
          </cell>
          <cell r="C512">
            <v>258.2</v>
          </cell>
        </row>
        <row r="513">
          <cell r="B513">
            <v>207.625</v>
          </cell>
          <cell r="C513">
            <v>259.625</v>
          </cell>
        </row>
        <row r="514">
          <cell r="B514">
            <v>207.65</v>
          </cell>
          <cell r="C514">
            <v>261.05</v>
          </cell>
        </row>
        <row r="515">
          <cell r="B515">
            <v>207.67500000000001</v>
          </cell>
          <cell r="C515">
            <v>262.47500000000002</v>
          </cell>
        </row>
        <row r="516">
          <cell r="B516">
            <v>207.7</v>
          </cell>
          <cell r="C516">
            <v>263.89999999999998</v>
          </cell>
        </row>
        <row r="517">
          <cell r="B517">
            <v>207.72499999999999</v>
          </cell>
          <cell r="C517">
            <v>265.32499999999999</v>
          </cell>
        </row>
        <row r="518">
          <cell r="B518">
            <v>207.75</v>
          </cell>
          <cell r="C518">
            <v>266.75</v>
          </cell>
        </row>
        <row r="519">
          <cell r="B519">
            <v>207.77500000000001</v>
          </cell>
          <cell r="C519">
            <v>268.17500000000001</v>
          </cell>
        </row>
        <row r="520">
          <cell r="B520">
            <v>207.8</v>
          </cell>
          <cell r="C520">
            <v>269.60000000000002</v>
          </cell>
        </row>
        <row r="521">
          <cell r="B521">
            <v>207.82499999999999</v>
          </cell>
          <cell r="C521">
            <v>271.02499999999998</v>
          </cell>
        </row>
        <row r="522">
          <cell r="B522">
            <v>207.85</v>
          </cell>
          <cell r="C522">
            <v>272.45</v>
          </cell>
        </row>
        <row r="523">
          <cell r="B523">
            <v>207.875</v>
          </cell>
          <cell r="C523">
            <v>273.875</v>
          </cell>
        </row>
        <row r="524">
          <cell r="B524">
            <v>207.9</v>
          </cell>
          <cell r="C524">
            <v>275.3</v>
          </cell>
        </row>
        <row r="525">
          <cell r="B525">
            <v>207.92500000000001</v>
          </cell>
          <cell r="C525">
            <v>276.72500000000002</v>
          </cell>
        </row>
        <row r="526">
          <cell r="B526">
            <v>207.95</v>
          </cell>
          <cell r="C526">
            <v>278.14999999999998</v>
          </cell>
        </row>
        <row r="527">
          <cell r="B527">
            <v>207.97499999999999</v>
          </cell>
          <cell r="C527">
            <v>279.57499999999999</v>
          </cell>
        </row>
        <row r="528">
          <cell r="B528">
            <v>208</v>
          </cell>
          <cell r="C528">
            <v>281</v>
          </cell>
        </row>
      </sheetData>
      <sheetData sheetId="1" refreshError="1"/>
      <sheetData sheetId="2" refreshError="1"/>
      <sheetData sheetId="3"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Summary"/>
      <sheetName val="BHUSAWAL"/>
      <sheetName val="F1(Bhu)"/>
      <sheetName val="F2.1(Bhu)"/>
      <sheetName val="F2.2(Bhu)"/>
      <sheetName val="F2.3(Bhu)"/>
      <sheetName val="F2.6(Bhu)"/>
      <sheetName val="F3(Bhu)"/>
      <sheetName val="F3.1(Bhu)"/>
      <sheetName val="F3.2(Bhu)"/>
      <sheetName val="F3.3(Bhu)"/>
      <sheetName val="F4(Bhu)"/>
      <sheetName val="F5(Bhu)"/>
      <sheetName val="F5.1(Bhu)"/>
      <sheetName val="F5.2(Bhu)"/>
      <sheetName val="F5.3(Bhu)"/>
      <sheetName val="F5.4(Bhu)"/>
      <sheetName val="F6(Bhu)"/>
      <sheetName val="F11(Bhu)"/>
      <sheetName val="F12(Bhu)"/>
      <sheetName val="Chandrapur"/>
      <sheetName val="F1(Cha)"/>
      <sheetName val="F2.1(Cha)"/>
      <sheetName val="F2.2(Cha)"/>
      <sheetName val="F2.3(Cha)"/>
      <sheetName val="F2.6(Cha)"/>
      <sheetName val="F3(Cha)"/>
      <sheetName val="F3.1(Cha)"/>
      <sheetName val="F3.2(Cha)"/>
      <sheetName val="F3.3(Cha)"/>
      <sheetName val="F4(Cha)"/>
      <sheetName val="F5(Cha)"/>
      <sheetName val="F5.1(Cha)"/>
      <sheetName val="F5.2(Cha)"/>
      <sheetName val="F5.3(Cha)"/>
      <sheetName val="F5.4(Cha)"/>
      <sheetName val="F6(Cha)"/>
      <sheetName val="F11(Cha)"/>
      <sheetName val="F12(Cha)"/>
      <sheetName val="Koradi"/>
      <sheetName val="F1(Kor)"/>
      <sheetName val="F2.1(Kor)"/>
      <sheetName val="F2.2(Kor)"/>
      <sheetName val="F2.3(Kor)"/>
      <sheetName val="F2.6(Kor)"/>
      <sheetName val="F3(Kor)"/>
      <sheetName val="F3.1(Kor)"/>
      <sheetName val="F3.2(Kor)"/>
      <sheetName val="F3.3(Kor)"/>
      <sheetName val="F4(Kor)"/>
      <sheetName val="F5(Kor)"/>
      <sheetName val="F5.1(Kor)"/>
      <sheetName val="F5.2(Kor)"/>
      <sheetName val="F5.3(Kor)"/>
      <sheetName val="F5.4(Kor)"/>
      <sheetName val="F6(Kor)"/>
      <sheetName val="F11(Kor)"/>
      <sheetName val="F12(Kor)"/>
      <sheetName val="Paras"/>
      <sheetName val="F1(Paras)"/>
      <sheetName val="F2.1(Paras)"/>
      <sheetName val="F2.2(Paras)"/>
      <sheetName val="F2.3(Paras)"/>
      <sheetName val="F2.6(Paras)"/>
      <sheetName val="F3(Paras)"/>
      <sheetName val="F3.1(Paras)"/>
      <sheetName val="F3.2(Paras)"/>
      <sheetName val="F3.3(Paras)"/>
      <sheetName val="F4(Paras)"/>
      <sheetName val="F5(Paras)"/>
      <sheetName val="F5.1(Paras)"/>
      <sheetName val="F5.2(Paras)"/>
      <sheetName val="F5.3(Paras)"/>
      <sheetName val="F5.4(Paras)"/>
      <sheetName val="F6(Paras)"/>
      <sheetName val="F11(Paras)"/>
      <sheetName val="F12(Paras)"/>
      <sheetName val="Parli"/>
      <sheetName val="F1(Parli)"/>
      <sheetName val="F2.1(Parli)"/>
      <sheetName val="F2.2(Parli)"/>
      <sheetName val="F2.3(Parli)"/>
      <sheetName val="F2.6(Parli)"/>
      <sheetName val="F3(Parli)"/>
      <sheetName val="F3.1(Parli)"/>
      <sheetName val="F3.2(Parli)"/>
      <sheetName val="F3.3(Parli)"/>
      <sheetName val="F4(Parli)"/>
      <sheetName val="F5(Parli)"/>
      <sheetName val="F5.1(Parli)"/>
      <sheetName val="F5.2(Parli)"/>
      <sheetName val="F5.3(Parli)"/>
      <sheetName val="F5.4(Parli)"/>
      <sheetName val="F6(Parli)"/>
      <sheetName val="F11(Parli)"/>
      <sheetName val="F12(Parli)"/>
      <sheetName val="Khaperkheda"/>
      <sheetName val="F1(Kha)"/>
      <sheetName val="F2.1(Kha)"/>
      <sheetName val="F2.2(Kha)"/>
      <sheetName val="F2.3(Kha)"/>
      <sheetName val="F2.6(Kha)"/>
      <sheetName val="F3(Kha)"/>
      <sheetName val="F3.1(Kha)"/>
      <sheetName val="F3.2(Kha)"/>
      <sheetName val="F3.3(Kha)"/>
      <sheetName val="F4(Kha)"/>
      <sheetName val="F5(Kha)"/>
      <sheetName val="F5.1(Kha)"/>
      <sheetName val="F5.2(Kha)"/>
      <sheetName val="F5.3(Kha)"/>
      <sheetName val="F5.4(Kha)"/>
      <sheetName val="F6(Kha)"/>
      <sheetName val="F11(Kha)"/>
      <sheetName val="F12(Kha)"/>
      <sheetName val="Nasik"/>
      <sheetName val="F1(Nasi)"/>
      <sheetName val="F2.1(Nasi)"/>
      <sheetName val="F2.2(Nasi)"/>
      <sheetName val="F2.3(Nasi)"/>
      <sheetName val="F2.6(Nasi)"/>
      <sheetName val="F3(Nasi)"/>
      <sheetName val="F3.1(Nasi)"/>
      <sheetName val="F3.2(Nasi)"/>
      <sheetName val="F3.3(Nasi)"/>
      <sheetName val="F4(Nasi)"/>
      <sheetName val="F5(Nasi)"/>
      <sheetName val="F5.1(Nasi)"/>
      <sheetName val="F5.2(Nasi)"/>
      <sheetName val="F5.3(Nasi)"/>
      <sheetName val="F5.4(Nasi)"/>
      <sheetName val="F6(Nasi)"/>
      <sheetName val="F11(Nasi)"/>
      <sheetName val="F12(Nasi)"/>
      <sheetName val="Uran"/>
      <sheetName val="F1(Uran)"/>
      <sheetName val="F2.1(Uran)"/>
      <sheetName val="F2.2(Uran)"/>
      <sheetName val="F2.3(Uran)"/>
      <sheetName val="F2.6(Uran)"/>
      <sheetName val="F3(Uran)"/>
      <sheetName val="F3.1(Uran)"/>
      <sheetName val="F3.2(Uran)"/>
      <sheetName val="F3.3(Uran)"/>
      <sheetName val="F4(Uran)"/>
      <sheetName val="F5(Uran)"/>
      <sheetName val="F5.1(Uran)"/>
      <sheetName val="F5.2(Uran)"/>
      <sheetName val="F5.3(Uran)"/>
      <sheetName val="F5.4(Uran)"/>
      <sheetName val="F6(Uran)"/>
      <sheetName val="F11(Uran)"/>
      <sheetName val="F12(Uran)"/>
      <sheetName val="Hydro"/>
      <sheetName val="F1(Hydro)"/>
      <sheetName val="F2.1(Hydro)"/>
      <sheetName val="F2.3(Hydro)"/>
      <sheetName val="F2.4(Hydro)"/>
      <sheetName val="F2.6(Hydro)"/>
      <sheetName val="F3(Hydro)"/>
      <sheetName val="F3.1(Hydro)"/>
      <sheetName val="F3.2(Hydro)"/>
      <sheetName val="F3.3(Hydro)"/>
      <sheetName val="F4(Hydro)"/>
      <sheetName val="F4(Koyna)"/>
      <sheetName val="F4(PuneHydro)"/>
      <sheetName val="F4(NasikHydro)"/>
      <sheetName val="F5(Hydro)"/>
      <sheetName val="F5.1(Hydro)"/>
      <sheetName val="F5.2(Hydro)"/>
      <sheetName val="F5.3(PuneHydro)"/>
      <sheetName val="F5.4(PuneHydro)"/>
      <sheetName val="F5.3(NasikHydro)"/>
      <sheetName val="F5.4(NasikHydro)"/>
      <sheetName val="F5.3(Koyna)"/>
      <sheetName val="F5.4(Koyna)"/>
      <sheetName val="F6(Hydro)"/>
      <sheetName val="F11(Hydro)"/>
      <sheetName val="F12(Hydro)"/>
    </sheetNames>
    <sheetDataSet>
      <sheetData sheetId="0">
        <row r="4">
          <cell r="B4">
            <v>7.8600000000000003E-2</v>
          </cell>
        </row>
        <row r="5">
          <cell r="B5">
            <v>7.8600000000000003E-2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A"/>
      <sheetName val="Sheet1"/>
      <sheetName val="Sheet2"/>
      <sheetName val="Sheet3"/>
      <sheetName val="Sheet4"/>
      <sheetName val="Sheet5"/>
      <sheetName val="Sheet6"/>
      <sheetName val="Sheet7"/>
      <sheetName val="Sheet7A"/>
      <sheetName val="Sheet8"/>
      <sheetName val="Sheet9"/>
      <sheetName val="Sheet10"/>
      <sheetName val="Sheet9A"/>
      <sheetName val="Sheet11"/>
      <sheetName val="Sheet12"/>
      <sheetName val="Sheet13"/>
      <sheetName val="Sheet14"/>
      <sheetName val="DPR (DCEW) "/>
      <sheetName val="DPR(DECO)"/>
      <sheetName val="DPR(DEMR)"/>
      <sheetName val="KLG"/>
      <sheetName val="SCADA"/>
      <sheetName val="SAIDI &amp; SAFI"/>
      <sheetName val="Sheet15"/>
    </sheetNames>
    <sheetDataSet>
      <sheetData sheetId="0" refreshError="1"/>
      <sheetData sheetId="1"/>
      <sheetData sheetId="2"/>
      <sheetData sheetId="3"/>
      <sheetData sheetId="4"/>
      <sheetData sheetId="5"/>
      <sheetData sheetId="6"/>
      <sheetData sheetId="7"/>
      <sheetData sheetId="8" refreshError="1"/>
      <sheetData sheetId="9" refreshError="1"/>
      <sheetData sheetId="10"/>
      <sheetData sheetId="11">
        <row r="45">
          <cell r="J45">
            <v>42.210000000000008</v>
          </cell>
        </row>
      </sheetData>
      <sheetData sheetId="12">
        <row r="47">
          <cell r="O47">
            <v>689.15000000000009</v>
          </cell>
        </row>
      </sheetData>
      <sheetData sheetId="13"/>
      <sheetData sheetId="14" refreshError="1"/>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B-MAN1"/>
      <sheetName val="Price "/>
      <sheetName val="COMPLEXALL"/>
    </sheetNames>
    <sheetDataSet>
      <sheetData sheetId="0" refreshError="1">
        <row r="40">
          <cell r="D40" t="str">
            <v>96.05.26</v>
          </cell>
          <cell r="H40">
            <v>35172</v>
          </cell>
          <cell r="K40" t="str">
            <v xml:space="preserve"> </v>
          </cell>
          <cell r="T40" t="str">
            <v>LCL</v>
          </cell>
          <cell r="U40" t="str">
            <v>Mongkol</v>
          </cell>
          <cell r="X40">
            <v>35440</v>
          </cell>
          <cell r="AG40">
            <v>35198</v>
          </cell>
          <cell r="AW40">
            <v>35093</v>
          </cell>
        </row>
        <row r="41">
          <cell r="D41" t="str">
            <v>LCL</v>
          </cell>
          <cell r="E41" t="str">
            <v>Somsak</v>
          </cell>
          <cell r="G41" t="str">
            <v xml:space="preserve"> </v>
          </cell>
          <cell r="K41" t="str">
            <v xml:space="preserve"> </v>
          </cell>
          <cell r="P41" t="str">
            <v>Tank / Lining</v>
          </cell>
          <cell r="T41">
            <v>35363</v>
          </cell>
          <cell r="X41" t="str">
            <v>LCL</v>
          </cell>
          <cell r="Y41" t="str">
            <v>Prasit</v>
          </cell>
          <cell r="AG41" t="str">
            <v>TCN</v>
          </cell>
          <cell r="AH41" t="str">
            <v>O. Gomez</v>
          </cell>
          <cell r="AW41" t="str">
            <v>LCL</v>
          </cell>
          <cell r="AX41" t="str">
            <v>Manusak</v>
          </cell>
        </row>
        <row r="42">
          <cell r="D42" t="str">
            <v>95.12.25</v>
          </cell>
          <cell r="G42" t="str">
            <v xml:space="preserve"> </v>
          </cell>
          <cell r="H42" t="str">
            <v>Q   /   S</v>
          </cell>
          <cell r="K42" t="str">
            <v xml:space="preserve"> </v>
          </cell>
          <cell r="P42" t="str">
            <v>GJ</v>
          </cell>
          <cell r="Q42" t="str">
            <v>강 민 형</v>
          </cell>
          <cell r="T42" t="str">
            <v>LCL</v>
          </cell>
          <cell r="U42" t="str">
            <v>Nattaphong</v>
          </cell>
          <cell r="X42">
            <v>35440</v>
          </cell>
          <cell r="AG42">
            <v>35183</v>
          </cell>
          <cell r="AW42">
            <v>35268</v>
          </cell>
        </row>
        <row r="43">
          <cell r="D43" t="str">
            <v>LCL</v>
          </cell>
          <cell r="E43" t="str">
            <v>Samart</v>
          </cell>
          <cell r="G43" t="str">
            <v xml:space="preserve"> </v>
          </cell>
          <cell r="H43" t="str">
            <v>TCN</v>
          </cell>
          <cell r="I43" t="str">
            <v xml:space="preserve">  S. ROWE</v>
          </cell>
          <cell r="K43" t="str">
            <v xml:space="preserve"> </v>
          </cell>
          <cell r="P43" t="str">
            <v>95.03.08 / 95.09.14</v>
          </cell>
          <cell r="T43">
            <v>35366</v>
          </cell>
          <cell r="X43" t="str">
            <v>LCL</v>
          </cell>
          <cell r="Y43" t="str">
            <v>Chalit</v>
          </cell>
          <cell r="AG43" t="str">
            <v>TCN</v>
          </cell>
          <cell r="AH43" t="str">
            <v>Rozario</v>
          </cell>
          <cell r="AW43" t="str">
            <v>LCL</v>
          </cell>
          <cell r="AX43" t="str">
            <v>Mankiet</v>
          </cell>
        </row>
        <row r="44">
          <cell r="D44" t="str">
            <v>96.02.05</v>
          </cell>
          <cell r="G44" t="str">
            <v xml:space="preserve"> </v>
          </cell>
          <cell r="H44">
            <v>34895</v>
          </cell>
          <cell r="K44" t="str">
            <v xml:space="preserve"> </v>
          </cell>
          <cell r="P44" t="str">
            <v>LCL</v>
          </cell>
          <cell r="Q44" t="str">
            <v>Prong</v>
          </cell>
          <cell r="T44" t="str">
            <v>TCN</v>
          </cell>
          <cell r="U44" t="str">
            <v>A. Tiongo</v>
          </cell>
          <cell r="X44">
            <v>35445</v>
          </cell>
          <cell r="AG44">
            <v>35258</v>
          </cell>
          <cell r="AW44">
            <v>35205</v>
          </cell>
        </row>
        <row r="45">
          <cell r="D45" t="str">
            <v>LCL</v>
          </cell>
          <cell r="E45" t="str">
            <v>Sathian</v>
          </cell>
          <cell r="G45" t="str">
            <v xml:space="preserve"> </v>
          </cell>
          <cell r="K45" t="str">
            <v xml:space="preserve"> </v>
          </cell>
          <cell r="P45">
            <v>35044</v>
          </cell>
          <cell r="T45">
            <v>35357</v>
          </cell>
          <cell r="X45" t="str">
            <v>LCL</v>
          </cell>
          <cell r="Y45" t="str">
            <v>Kritsada</v>
          </cell>
          <cell r="AG45" t="str">
            <v>TCN</v>
          </cell>
          <cell r="AH45" t="str">
            <v>E. Magadia</v>
          </cell>
          <cell r="AW45" t="str">
            <v>LCL</v>
          </cell>
          <cell r="AX45" t="str">
            <v>Phichet</v>
          </cell>
        </row>
        <row r="46">
          <cell r="D46">
            <v>35328</v>
          </cell>
          <cell r="G46" t="str">
            <v xml:space="preserve"> </v>
          </cell>
          <cell r="K46" t="str">
            <v xml:space="preserve"> </v>
          </cell>
          <cell r="P46" t="str">
            <v>LCL</v>
          </cell>
          <cell r="Q46" t="str">
            <v>Swan</v>
          </cell>
          <cell r="T46" t="str">
            <v>LCL</v>
          </cell>
          <cell r="U46" t="str">
            <v>Suchart</v>
          </cell>
          <cell r="X46">
            <v>35450</v>
          </cell>
          <cell r="AG46">
            <v>35469</v>
          </cell>
          <cell r="AW46">
            <v>35115</v>
          </cell>
        </row>
        <row r="47">
          <cell r="G47" t="str">
            <v xml:space="preserve"> </v>
          </cell>
          <cell r="K47" t="str">
            <v xml:space="preserve"> </v>
          </cell>
          <cell r="P47">
            <v>35464</v>
          </cell>
          <cell r="T47">
            <v>35450</v>
          </cell>
          <cell r="X47" t="str">
            <v>LCL</v>
          </cell>
          <cell r="Y47" t="str">
            <v>Pasathorn</v>
          </cell>
          <cell r="AG47" t="str">
            <v>TCN</v>
          </cell>
          <cell r="AH47" t="str">
            <v>M. Clay</v>
          </cell>
          <cell r="AW47" t="str">
            <v>LCL</v>
          </cell>
          <cell r="AX47" t="str">
            <v>Watcharin</v>
          </cell>
        </row>
        <row r="48">
          <cell r="D48" t="str">
            <v>業           務</v>
          </cell>
          <cell r="G48" t="str">
            <v xml:space="preserve"> </v>
          </cell>
          <cell r="K48" t="str">
            <v xml:space="preserve"> </v>
          </cell>
          <cell r="X48">
            <v>35457</v>
          </cell>
          <cell r="AG48">
            <v>35247</v>
          </cell>
          <cell r="AW48">
            <v>35443</v>
          </cell>
        </row>
        <row r="49">
          <cell r="D49" t="str">
            <v>DR</v>
          </cell>
          <cell r="E49" t="str">
            <v>김 주 범</v>
          </cell>
          <cell r="G49" t="str">
            <v xml:space="preserve"> </v>
          </cell>
          <cell r="K49" t="str">
            <v xml:space="preserve"> </v>
          </cell>
          <cell r="P49" t="str">
            <v>保溫 / 途裝</v>
          </cell>
          <cell r="X49" t="str">
            <v>LCL</v>
          </cell>
          <cell r="Y49" t="str">
            <v>Somsak</v>
          </cell>
          <cell r="AW49" t="str">
            <v>LCL</v>
          </cell>
          <cell r="AX49" t="str">
            <v>Thanin</v>
          </cell>
        </row>
      </sheetData>
      <sheetData sheetId="1" refreshError="1"/>
      <sheetData sheetId="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up to lenders"/>
      <sheetName val="Funding plan"/>
      <sheetName val="rough"/>
      <sheetName val="Monthly"/>
      <sheetName val="IDC"/>
      <sheetName val="IDC model based"/>
      <sheetName val="phasing for IDC"/>
      <sheetName val="phasing"/>
      <sheetName val="IDC phasing based"/>
      <sheetName val="sorting"/>
      <sheetName val="Hedging"/>
      <sheetName val="Payment terms"/>
      <sheetName val="Fin Charg"/>
      <sheetName val="toshiba"/>
      <sheetName val="cashflow-doosan-27.11.07"/>
      <sheetName val="Summary"/>
      <sheetName val="CASH FLW cb"/>
      <sheetName val="gcb"/>
      <sheetName val="hp piping"/>
      <sheetName val="preop"/>
      <sheetName val="Coal oil"/>
      <sheetName val="final"/>
      <sheetName val="Proc sch2511"/>
      <sheetName val="TCE"/>
      <sheetName val="CASH FLW"/>
      <sheetName val="IDC-calcual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04|71"/>
      <sheetName val="03-04|72"/>
      <sheetName val="03-04|74"/>
      <sheetName val="03-04|75"/>
      <sheetName val="03-04|76"/>
      <sheetName val="03-04|77"/>
      <sheetName val="03-04|79"/>
      <sheetName val="03-04|83"/>
      <sheetName val="03-04|Master"/>
      <sheetName val="04R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1 02 Est.at Existing Tariff"/>
      <sheetName val="Financial Estimates"/>
      <sheetName val="Sheet1"/>
      <sheetName val="Sheet2"/>
      <sheetName val="Sheet3"/>
      <sheetName val="2001_02_Est_at_Existing_Tariff"/>
      <sheetName val="Financial_Estimates"/>
    </sheetNames>
    <sheetDataSet>
      <sheetData sheetId="0" refreshError="1"/>
      <sheetData sheetId="1" refreshError="1">
        <row r="271">
          <cell r="B271" t="str">
            <v>PURCHASE MVA /MONTH</v>
          </cell>
          <cell r="D271">
            <v>550</v>
          </cell>
        </row>
        <row r="273">
          <cell r="B273" t="str">
            <v>MONTHLY FIXED WLG.CHRGS.RECOVERABLE(Rs.LACS)</v>
          </cell>
          <cell r="D273">
            <v>67.11</v>
          </cell>
        </row>
        <row r="274">
          <cell r="B274" t="str">
            <v>MONTHLY FIXED WLG.CHARGES PAYABLE(Rs.LACS)</v>
          </cell>
          <cell r="D274">
            <v>67.11</v>
          </cell>
        </row>
        <row r="276">
          <cell r="B276" t="str">
            <v>% OF (U#5 + U#6+U#7) POWER WHEELED</v>
          </cell>
          <cell r="D276">
            <v>26</v>
          </cell>
        </row>
        <row r="278">
          <cell r="B278" t="str">
            <v>ENERGY LOSS IN WHEELING MSEB'S POWER (%)</v>
          </cell>
          <cell r="D278">
            <v>3.09</v>
          </cell>
        </row>
        <row r="279">
          <cell r="B279" t="str">
            <v>ENERGY LOSS IN WHEELING TPC'S POWER (%)</v>
          </cell>
          <cell r="D279">
            <v>2</v>
          </cell>
        </row>
        <row r="281">
          <cell r="B281" t="str">
            <v>PURCHASE ENERGY RATE (P/U)</v>
          </cell>
          <cell r="D281">
            <v>290</v>
          </cell>
        </row>
        <row r="282">
          <cell r="B282" t="str">
            <v>PURCHASE FAC RATE (P/U)</v>
          </cell>
          <cell r="D282">
            <v>0</v>
          </cell>
        </row>
        <row r="283">
          <cell r="B283" t="str">
            <v>ENERGY RATE FOR SALE TO MSEB (P/U)</v>
          </cell>
          <cell r="D283">
            <v>125.9</v>
          </cell>
        </row>
        <row r="284">
          <cell r="B284" t="str">
            <v>ENERGY RATE FOR SALE TO INTER STATE  UTILITIES (P/U)</v>
          </cell>
          <cell r="D284">
            <v>125.9</v>
          </cell>
        </row>
        <row r="285">
          <cell r="B285" t="str">
            <v>FAC RATE FOR SALE TO INTER STATE  UTILITIES (P/U)</v>
          </cell>
          <cell r="D285">
            <v>124.1</v>
          </cell>
        </row>
        <row r="286">
          <cell r="B286" t="str">
            <v>FAC RATE FOR SALE TO MSEB (P/U)</v>
          </cell>
          <cell r="D286">
            <v>124.1</v>
          </cell>
        </row>
        <row r="287">
          <cell r="B287" t="str">
            <v>PURCHASE MD RATE (Rs./KVA/MONTH)</v>
          </cell>
          <cell r="D287">
            <v>600</v>
          </cell>
        </row>
        <row r="289">
          <cell r="B289" t="str">
            <v>FUEL COST (Rs./MT) :</v>
          </cell>
        </row>
        <row r="290">
          <cell r="B290" t="str">
            <v>COAL</v>
          </cell>
          <cell r="D290">
            <v>2875</v>
          </cell>
        </row>
        <row r="291">
          <cell r="B291" t="str">
            <v>GAS</v>
          </cell>
          <cell r="D291">
            <v>4200</v>
          </cell>
        </row>
        <row r="292">
          <cell r="B292" t="str">
            <v>LSHS/ LSWR</v>
          </cell>
          <cell r="D292">
            <v>9760</v>
          </cell>
        </row>
        <row r="293">
          <cell r="B293" t="str">
            <v>-</v>
          </cell>
          <cell r="C293" t="str">
            <v>-</v>
          </cell>
          <cell r="D293" t="str">
            <v>-</v>
          </cell>
        </row>
        <row r="295">
          <cell r="B295" t="str">
            <v>Tariff :</v>
          </cell>
        </row>
        <row r="296">
          <cell r="C296" t="str">
            <v>MD</v>
          </cell>
          <cell r="D296" t="str">
            <v>RKVAH</v>
          </cell>
        </row>
        <row r="297">
          <cell r="C297" t="str">
            <v>(Rs./KVA)</v>
          </cell>
          <cell r="D297" t="str">
            <v>(P./RKVAH)</v>
          </cell>
        </row>
        <row r="298">
          <cell r="B298" t="str">
            <v>TEXTILES</v>
          </cell>
          <cell r="C298">
            <v>170</v>
          </cell>
          <cell r="D298">
            <v>0</v>
          </cell>
        </row>
        <row r="299">
          <cell r="B299" t="str">
            <v>HT INDUSTRIES</v>
          </cell>
          <cell r="C299">
            <v>170</v>
          </cell>
          <cell r="D299">
            <v>0</v>
          </cell>
        </row>
        <row r="300">
          <cell r="B300" t="str">
            <v>HT COMMERCIAL</v>
          </cell>
          <cell r="C300">
            <v>170</v>
          </cell>
          <cell r="D300">
            <v>0</v>
          </cell>
        </row>
        <row r="301">
          <cell r="B301" t="str">
            <v>LT INDUSTRIES (TWO PART TARIFF)</v>
          </cell>
          <cell r="C301">
            <v>175</v>
          </cell>
          <cell r="D301">
            <v>0</v>
          </cell>
        </row>
        <row r="302">
          <cell r="B302" t="str">
            <v>LT COMMERCIAL (TWO PART TARIFF)</v>
          </cell>
          <cell r="C302">
            <v>175</v>
          </cell>
          <cell r="D302">
            <v>0</v>
          </cell>
        </row>
        <row r="303">
          <cell r="B303" t="str">
            <v>RAILWAYS</v>
          </cell>
          <cell r="C303">
            <v>170</v>
          </cell>
          <cell r="D303">
            <v>0</v>
          </cell>
        </row>
        <row r="304">
          <cell r="B304" t="str">
            <v>BEST</v>
          </cell>
          <cell r="C304">
            <v>170</v>
          </cell>
          <cell r="D304">
            <v>0</v>
          </cell>
        </row>
        <row r="305">
          <cell r="B305" t="str">
            <v>BSES (22/33 KV)</v>
          </cell>
          <cell r="C305">
            <v>200</v>
          </cell>
          <cell r="D305">
            <v>0</v>
          </cell>
        </row>
        <row r="306">
          <cell r="B306" t="str">
            <v>BSES (220 KV)</v>
          </cell>
          <cell r="D306">
            <v>0</v>
          </cell>
        </row>
        <row r="307">
          <cell r="B307" t="str">
            <v>MSEB 22 KV</v>
          </cell>
          <cell r="D307">
            <v>0</v>
          </cell>
        </row>
        <row r="308">
          <cell r="B308" t="str">
            <v>ENERGY RATE (P/KWH) :</v>
          </cell>
        </row>
        <row r="309">
          <cell r="B309" t="str">
            <v>TEXTILES</v>
          </cell>
          <cell r="C309">
            <v>197</v>
          </cell>
        </row>
        <row r="310">
          <cell r="B310" t="str">
            <v>HT INDUSTRIES</v>
          </cell>
          <cell r="C310">
            <v>197</v>
          </cell>
        </row>
        <row r="311">
          <cell r="B311" t="str">
            <v>HT COMMERCIAL</v>
          </cell>
          <cell r="C311">
            <v>197</v>
          </cell>
        </row>
        <row r="312">
          <cell r="B312" t="str">
            <v>LT INDUSTRIES (SINGLE PART TARIFF)</v>
          </cell>
          <cell r="C312">
            <v>272</v>
          </cell>
        </row>
        <row r="313">
          <cell r="B313" t="str">
            <v>LT INDUSTRIES (TWO PART TARIFF)</v>
          </cell>
          <cell r="C313">
            <v>202</v>
          </cell>
        </row>
        <row r="314">
          <cell r="B314" t="str">
            <v>LT COMMERCIAL (SINGLE PART TARIFF)</v>
          </cell>
          <cell r="C314">
            <v>272</v>
          </cell>
        </row>
        <row r="315">
          <cell r="B315" t="str">
            <v>LT COMMERCIAL (TWO PART TARIFF)</v>
          </cell>
          <cell r="C315">
            <v>202</v>
          </cell>
        </row>
        <row r="316">
          <cell r="B316" t="str">
            <v>RESIDENTIAL</v>
          </cell>
          <cell r="C316">
            <v>212.75</v>
          </cell>
        </row>
        <row r="317">
          <cell r="B317" t="str">
            <v>RAILWAYS</v>
          </cell>
          <cell r="C317">
            <v>197</v>
          </cell>
        </row>
        <row r="318">
          <cell r="B318" t="str">
            <v>BEST</v>
          </cell>
          <cell r="C318">
            <v>177</v>
          </cell>
        </row>
        <row r="319">
          <cell r="B319" t="str">
            <v>BSES</v>
          </cell>
          <cell r="C319">
            <v>177</v>
          </cell>
        </row>
        <row r="320">
          <cell r="B320" t="str">
            <v>BSES 220 KV</v>
          </cell>
          <cell r="C320">
            <v>209</v>
          </cell>
        </row>
        <row r="321">
          <cell r="B321" t="str">
            <v>BASIC COST OF FUEL (Rs./MKCL)</v>
          </cell>
          <cell r="C321">
            <v>325</v>
          </cell>
        </row>
        <row r="322">
          <cell r="B322" t="str">
            <v>-</v>
          </cell>
        </row>
        <row r="323">
          <cell r="B323" t="str">
            <v>CALORIFIC VALUES (MKCL/MT) :</v>
          </cell>
        </row>
        <row r="324">
          <cell r="B324" t="str">
            <v>COAL</v>
          </cell>
          <cell r="C324">
            <v>5.1278223000000001</v>
          </cell>
        </row>
        <row r="325">
          <cell r="B325" t="str">
            <v>GAS</v>
          </cell>
          <cell r="C325">
            <v>13</v>
          </cell>
        </row>
        <row r="326">
          <cell r="B326" t="str">
            <v>LSHS/ LSWR</v>
          </cell>
          <cell r="C326">
            <v>10.5</v>
          </cell>
        </row>
        <row r="328">
          <cell r="B328" t="str">
            <v>HEAT RATES &amp; AUXILIARY CONSUMPTION</v>
          </cell>
          <cell r="C328" t="str">
            <v>HEAT RATE</v>
          </cell>
          <cell r="D328" t="str">
            <v>AUX.CONS.</v>
          </cell>
        </row>
        <row r="329">
          <cell r="C329" t="str">
            <v>MKCL/MU</v>
          </cell>
          <cell r="D329" t="str">
            <v>(%)</v>
          </cell>
        </row>
        <row r="330">
          <cell r="B330" t="str">
            <v>------------------------------------</v>
          </cell>
          <cell r="C330" t="str">
            <v>-</v>
          </cell>
          <cell r="D330" t="str">
            <v>-</v>
          </cell>
        </row>
        <row r="332">
          <cell r="B332" t="str">
            <v>UNIT NO.4</v>
          </cell>
          <cell r="C332">
            <v>2600</v>
          </cell>
          <cell r="D332">
            <v>10</v>
          </cell>
        </row>
        <row r="333">
          <cell r="B333" t="str">
            <v>UNIT NO.5</v>
          </cell>
          <cell r="C333">
            <v>2430</v>
          </cell>
          <cell r="D333">
            <v>5</v>
          </cell>
        </row>
        <row r="334">
          <cell r="B334" t="str">
            <v>UNIT NO.6</v>
          </cell>
          <cell r="C334">
            <v>2380</v>
          </cell>
          <cell r="D334">
            <v>4</v>
          </cell>
        </row>
        <row r="335">
          <cell r="B335" t="str">
            <v>UNIT NO.7 AS GT</v>
          </cell>
          <cell r="C335">
            <v>2850</v>
          </cell>
          <cell r="D335">
            <v>2.1</v>
          </cell>
        </row>
        <row r="336">
          <cell r="B336" t="str">
            <v>UNIT NO.7</v>
          </cell>
          <cell r="C336">
            <v>2000</v>
          </cell>
          <cell r="D336">
            <v>2</v>
          </cell>
        </row>
        <row r="337">
          <cell r="B337" t="str">
            <v>HYDRO</v>
          </cell>
          <cell r="D337">
            <v>0.5</v>
          </cell>
        </row>
        <row r="339">
          <cell r="B339" t="str">
            <v>TAXABLE SALES</v>
          </cell>
          <cell r="C339">
            <v>91</v>
          </cell>
          <cell r="D339" t="str">
            <v>%</v>
          </cell>
        </row>
        <row r="340">
          <cell r="B340" t="str">
            <v xml:space="preserve">TAX ON  SALE RATE </v>
          </cell>
          <cell r="C340">
            <v>15</v>
          </cell>
          <cell r="D340" t="str">
            <v>(P/KWH)</v>
          </cell>
        </row>
        <row r="342">
          <cell r="B342" t="str">
            <v>T T &amp; D LOSSES</v>
          </cell>
          <cell r="C342">
            <v>2.2999999999999998</v>
          </cell>
          <cell r="D342" t="str">
            <v>%</v>
          </cell>
        </row>
      </sheetData>
      <sheetData sheetId="2" refreshError="1"/>
      <sheetData sheetId="3" refreshError="1"/>
      <sheetData sheetId="4" refreshError="1"/>
      <sheetData sheetId="5" refreshError="1"/>
      <sheetData sheetId="6"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SUmm jan 05 "/>
      <sheetName val="TarSUmm jan 05  Cat"/>
      <sheetName val="TarSUmm Dec04  (3)"/>
      <sheetName val="TarSUmm Dec04  (2)"/>
      <sheetName val="TarSUmm Nov04  (2)"/>
      <sheetName val="per unit"/>
      <sheetName val="per unit (2)"/>
      <sheetName val="Sales FY05"/>
      <sheetName val="Revenue FY05"/>
      <sheetName val="Sales (FY04)"/>
      <sheetName val="Sheet1"/>
      <sheetName val="Sales (FY04) (2)"/>
      <sheetName val="En Ch FY05"/>
      <sheetName val="MD Ch FY05"/>
      <sheetName val="FAC Ch FY05"/>
      <sheetName val="En Ch FY04"/>
      <sheetName val="MD Ch FY04"/>
      <sheetName val="FAC Ch FY04"/>
      <sheetName val="Revenue(No TOSE &amp; StBy)"/>
      <sheetName val="Tariff (No TOSE &amp; StBy)"/>
      <sheetName val="MonthWise TS FY04"/>
      <sheetName val="Revenue FY04 (No TOSE)"/>
      <sheetName val="Tariff FY0 (No TOSE &amp; StBy)"/>
      <sheetName val="REL FAC 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
      <sheetName val="A 2.1 PY"/>
      <sheetName val="A 2.1 CY"/>
      <sheetName val="A 2.1 EY"/>
      <sheetName val="A 2.2"/>
      <sheetName val="A 2.3"/>
      <sheetName val="Power Pur 3.1 (PY)"/>
      <sheetName val="Power Pur 3.1 (CY)"/>
      <sheetName val="Power Pur 3.1 (EY)"/>
      <sheetName val="A 3.2"/>
      <sheetName val="A 3.3 PY"/>
      <sheetName val="A 3.3 CY"/>
      <sheetName val="A 3.3 EY"/>
      <sheetName val="A 3.4"/>
      <sheetName val="A 3.5"/>
      <sheetName val="A 3.6 (PY)"/>
      <sheetName val="A 3.6 (CY)"/>
      <sheetName val="A 3.6 (EY)"/>
      <sheetName val="A 3.7"/>
      <sheetName val="A 3.8"/>
      <sheetName val="A 3.9"/>
      <sheetName val="A 3.10 "/>
      <sheetName val="A-5.1(PY)"/>
      <sheetName val="A-5.1(CY) "/>
      <sheetName val="A-5.1(EY)"/>
      <sheetName val="A-5.2(PY)"/>
      <sheetName val="A-5.2(CY)"/>
      <sheetName val="A-5.2(EY)"/>
      <sheetName val="A -5.3"/>
      <sheetName val="form 6.1 (PY) Gen"/>
      <sheetName val="form 6.1(PY)T&amp;D "/>
      <sheetName val="form 6.1 (CY) Gen"/>
      <sheetName val="form 6.1(CY) T&amp;D"/>
      <sheetName val="form 6.1 (EY) Gen "/>
      <sheetName val="form 6.1(EY) T&amp;D"/>
      <sheetName val="A 7.1"/>
      <sheetName val="A 7.2"/>
      <sheetName val="A 7.3"/>
      <sheetName val="A 7.4"/>
      <sheetName val="A 8.1"/>
      <sheetName val="A 8.2"/>
      <sheetName val="A 8.3"/>
      <sheetName val="A 8.4"/>
      <sheetName val="A 8.5"/>
      <sheetName val="A 8.6"/>
      <sheetName val="A 8.7"/>
      <sheetName val="A 8.8"/>
      <sheetName val="A 8.9"/>
      <sheetName val="A 8.10"/>
      <sheetName val="8.11 PY"/>
      <sheetName val="8.11 CY"/>
      <sheetName val="8.11 EY"/>
      <sheetName val="A-10.1"/>
      <sheetName val="A 10.2 (A)"/>
      <sheetName val="A 10.2 B"/>
      <sheetName val="A 10.2 C"/>
      <sheetName val="A 10.2 D"/>
      <sheetName val="A 10.3"/>
      <sheetName val="A 10.4"/>
      <sheetName val="Rev Calculation"/>
      <sheetName val="A 9.1"/>
      <sheetName val="dpc cost"/>
      <sheetName val="SUMMERY"/>
      <sheetName val="A 3_7"/>
      <sheetName val="form_x0000__x0000__x0000__x0000__x0000__x0000__x0000__x0000__x0000__x0000__x0000__x0000__x0000_"/>
      <sheetName val=""/>
      <sheetName val="form"/>
      <sheetName val="A-1_1_"/>
      <sheetName val="A_2_1_PY"/>
      <sheetName val="A_2_1_CY"/>
      <sheetName val="A_2_1_EY"/>
      <sheetName val="A_2_2"/>
      <sheetName val="A_2_3"/>
      <sheetName val="Power_Pur_3_1_(PY)"/>
      <sheetName val="Power_Pur_3_1_(CY)"/>
      <sheetName val="Power_Pur_3_1_(EY)"/>
      <sheetName val="A_3_2"/>
      <sheetName val="A_3_3_PY"/>
      <sheetName val="A_3_3_CY"/>
      <sheetName val="A_3_3_EY"/>
      <sheetName val="A_3_4"/>
      <sheetName val="A_3_5"/>
      <sheetName val="A_3_6_(PY)"/>
      <sheetName val="A_3_6_(CY)"/>
      <sheetName val="A_3_6_(EY)"/>
      <sheetName val="A_3_7"/>
      <sheetName val="A_3_8"/>
      <sheetName val="A_3_9"/>
      <sheetName val="A_3_10_"/>
      <sheetName val="A-5_1(PY)"/>
      <sheetName val="A-5_1(CY)_"/>
      <sheetName val="A-5_1(EY)"/>
      <sheetName val="A-5_2(PY)"/>
      <sheetName val="A-5_2(CY)"/>
      <sheetName val="A-5_2(EY)"/>
      <sheetName val="A_-5_3"/>
      <sheetName val="form_6_1_(PY)_Gen"/>
      <sheetName val="form_6_1(PY)T&amp;D_"/>
      <sheetName val="form_6_1_(CY)_Gen"/>
      <sheetName val="form_6_1(CY)_T&amp;D"/>
      <sheetName val="form_6_1_(EY)_Gen_"/>
      <sheetName val="form_6_1(EY)_T&amp;D"/>
      <sheetName val="A_7_1"/>
      <sheetName val="A_7_2"/>
      <sheetName val="A_7_3"/>
      <sheetName val="A_7_4"/>
      <sheetName val="A_8_1"/>
      <sheetName val="A_8_2"/>
      <sheetName val="A_8_3"/>
      <sheetName val="A_8_4"/>
      <sheetName val="A_8_5"/>
      <sheetName val="A_8_6"/>
      <sheetName val="A_8_7"/>
      <sheetName val="A_8_8"/>
      <sheetName val="A_8_9"/>
      <sheetName val="A_8_10"/>
      <sheetName val="8_11_PY"/>
      <sheetName val="8_11_CY"/>
      <sheetName val="8_11_EY"/>
      <sheetName val="A-10_1"/>
      <sheetName val="A_10_2_(A)"/>
      <sheetName val="A_10_2_B"/>
      <sheetName val="A_10_2_C"/>
      <sheetName val="A_10_2_D"/>
      <sheetName val="A_10_3"/>
      <sheetName val="A_10_4"/>
      <sheetName val="Rev_Calculation"/>
      <sheetName val="A_9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5">
          <cell r="G35">
            <v>64254.226096970044</v>
          </cell>
          <cell r="H35">
            <v>59093.238057586968</v>
          </cell>
          <cell r="I35">
            <v>63490.540060935658</v>
          </cell>
        </row>
        <row r="44">
          <cell r="G44">
            <v>24259.407938726315</v>
          </cell>
          <cell r="H44">
            <v>16526.511773419461</v>
          </cell>
          <cell r="I44">
            <v>17654.636270525258</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000"/>
      <sheetName val="#1 Misc Pipe"/>
      <sheetName val="당진(기타)"/>
      <sheetName val="당진1Drip Shield"/>
      <sheetName val="당진2Drip Shield "/>
      <sheetName val="DJ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000"/>
      <sheetName val="#1 Misc Pipe"/>
      <sheetName val="당진(기타)"/>
      <sheetName val="당진1Drip Shield"/>
      <sheetName val="당진2Drip Shield "/>
      <sheetName val="DJ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000"/>
      <sheetName val="#1 Misc Pipe"/>
      <sheetName val="당진(기타)"/>
      <sheetName val="당진1Drip Shield"/>
      <sheetName val="당진2Drip Shield "/>
      <sheetName val="DJ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V"/>
      <sheetName val="P-LIST"/>
      <sheetName val="운송"/>
      <sheetName val="SIV (2)"/>
      <sheetName val="Sheet1"/>
      <sheetName val="Sheet2"/>
      <sheetName val="Sheet3"/>
      <sheetName val="SIV_(2)"/>
      <sheetName val="현장지지물물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Sheet"/>
      <sheetName val="EB_MO_FY08"/>
      <sheetName val="Dailysource"/>
    </sheetNames>
    <sheetDataSet>
      <sheetData sheetId="0"/>
      <sheetData sheetId="1" refreshError="1"/>
      <sheetData sheetId="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SUmm jan 05 "/>
      <sheetName val="TarSUmm jan 05  Cat"/>
      <sheetName val="TarSUmm Dec04  (3)"/>
      <sheetName val="TarSUmm Dec04  (2)"/>
      <sheetName val="TarSUmm Nov04  (2)"/>
      <sheetName val="per unit"/>
      <sheetName val="per unit (2)"/>
      <sheetName val="Sales FY05"/>
      <sheetName val="Revenue FY05"/>
      <sheetName val="Sales (FY04)"/>
      <sheetName val="Sheet1"/>
      <sheetName val="Sales (FY04) (2)"/>
      <sheetName val="En Ch FY05"/>
      <sheetName val="MD Ch FY05"/>
      <sheetName val="FAC Ch FY05"/>
      <sheetName val="En Ch FY04"/>
      <sheetName val="MD Ch FY04"/>
      <sheetName val="FAC Ch FY04"/>
      <sheetName val="Revenue(No TOSE &amp; StBy)"/>
      <sheetName val="Tariff (No TOSE &amp; StBy)"/>
      <sheetName val="MonthWise TS FY04"/>
      <sheetName val="Revenue FY04 (No TOSE)"/>
      <sheetName val="Tariff FY0 (No TOSE &amp; StBy)"/>
      <sheetName val="REL FAC Os"/>
      <sheetName val="Input_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input"/>
      <sheetName val="Daily report"/>
      <sheetName val="OCM2"/>
      <sheetName val="OCM4"/>
      <sheetName val="OCM1"/>
      <sheetName val="OCM3"/>
      <sheetName val="OCM5"/>
      <sheetName val="OCM7"/>
      <sheetName val="INDEX"/>
      <sheetName val="OCM6"/>
      <sheetName val="highlight"/>
      <sheetName val="water"/>
      <sheetName val="AWARD"/>
      <sheetName val="CE"/>
      <sheetName val="hrawd"/>
      <sheetName val="Assumption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 Access Charges"/>
      <sheetName val="Sheet1"/>
      <sheetName val="Financial Estimates"/>
    </sheetNames>
    <sheetDataSet>
      <sheetData sheetId="0" refreshError="1"/>
      <sheetData sheetId="1">
        <row r="2">
          <cell r="C2">
            <v>0.8</v>
          </cell>
        </row>
      </sheetData>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Flash"/>
      <sheetName val="MIS - License Area"/>
      <sheetName val="Tariffs"/>
      <sheetName val="Assumption Sheet"/>
      <sheetName val="Sales Growth Assumptions"/>
      <sheetName val="Rev Analysis"/>
      <sheetName val="Annual Sales"/>
      <sheetName val="Monthly Sales FY06 07 08"/>
      <sheetName val="ABP FY06 Summary (No TOSE)"/>
      <sheetName val="ABP FY07 Summary (No TOSE)"/>
      <sheetName val="ABP FY08 Summary (No TOSE)"/>
      <sheetName val="Monthly-Revenue (No TOSE)"/>
      <sheetName val="ABP FY06 Summary (TOSE)"/>
      <sheetName val="Summary-Tariffs"/>
      <sheetName val="Gen FY06"/>
      <sheetName val="FAC Computation-FY06"/>
      <sheetName val="FAC Computation-FY06 (No VAT)"/>
      <sheetName val="FB-FY06"/>
      <sheetName val="VAT_Excise"/>
      <sheetName val="PP FY06"/>
      <sheetName val="PRICE &amp; CV"/>
      <sheetName val="Monthly-Sales"/>
      <sheetName val="Monthly-En Ch"/>
      <sheetName val="Monthly-MD Ch"/>
      <sheetName val="Monthly-FAC Ch"/>
      <sheetName val="Monthly-TOSE Ch"/>
      <sheetName val="Monthly-Revenue (TOSE)"/>
      <sheetName val="Gen FY07"/>
      <sheetName val="FAC Computation-FY07"/>
      <sheetName val="FB-FY07"/>
      <sheetName val="PP FY07"/>
      <sheetName val="FAC Computation-FY08"/>
      <sheetName val="Gen FY08"/>
      <sheetName val="FB-FY08"/>
      <sheetName val="PP FY08"/>
      <sheetName val="Annual - MVA"/>
      <sheetName val="Sum S&amp;R(FY04)"/>
      <sheetName val="Sum S&amp;R (FY05-H1 &amp; H2)"/>
      <sheetName val="Monthly-MVA"/>
      <sheetName val="ED Computation"/>
      <sheetName val="Sum S&amp;R (FY06)"/>
      <sheetName val="Sum-S&amp;R"/>
      <sheetName val="Old Fuel Budget"/>
      <sheetName val="GEN"/>
      <sheetName val="Annual Summary"/>
      <sheetName val="New Cust-CDD"/>
      <sheetName val="MSEB"/>
      <sheetName val="B22"/>
      <sheetName val="B100"/>
      <sheetName val="BE_d"/>
      <sheetName val="REL"/>
      <sheetName val="REL Steps"/>
      <sheetName val="Rl22"/>
      <sheetName val="Rl100"/>
      <sheetName val="RT"/>
      <sheetName val="HT-I"/>
      <sheetName val="HT-C"/>
      <sheetName val="P22"/>
      <sheetName val="P100"/>
      <sheetName val="CPP"/>
      <sheetName val="T"/>
      <sheetName val="Sales FY05"/>
      <sheetName val="En Ch FY05"/>
      <sheetName val="MD Ch FY05"/>
      <sheetName val="FAC Ch FY05"/>
      <sheetName val="REL Steps (2)"/>
      <sheetName val="2PI"/>
      <sheetName val="2PC"/>
      <sheetName val="1PI"/>
      <sheetName val="1PC"/>
      <sheetName val="R"/>
      <sheetName val="Commercial"/>
      <sheetName val="Public"/>
      <sheetName val="HT+CPP"/>
      <sheetName val="Sheet1"/>
      <sheetName val="Licencees"/>
      <sheetName val="Sheet2"/>
      <sheetName val="HT Public-cust"/>
      <sheetName val="BEST-100kV"/>
      <sheetName val="Sheet4"/>
      <sheetName val="MD-9899"/>
      <sheetName val="99-00"/>
      <sheetName val="00-01"/>
      <sheetName val="01-02"/>
      <sheetName val="02-03"/>
      <sheetName val="03-04"/>
      <sheetName val="04-05"/>
      <sheetName val="Gen Sch (Revis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총괄 (10)"/>
      <sheetName val="내역 (10)"/>
      <sheetName val="총괄 (9)"/>
      <sheetName val="내역 (9)"/>
      <sheetName val="총괄 (8)"/>
      <sheetName val="내역 (8)"/>
      <sheetName val="총괄 (7)"/>
      <sheetName val="내역 (7)"/>
      <sheetName val="총괄 (6)"/>
      <sheetName val="내역 (6)"/>
      <sheetName val="총괄 (5)"/>
      <sheetName val="내역 (5)"/>
      <sheetName val="총괄 (4)"/>
      <sheetName val="내역 (4)"/>
      <sheetName val="총괄 (3)"/>
      <sheetName val="내역 (3)"/>
      <sheetName val="총괄 (2)"/>
      <sheetName val="내역 (2)"/>
      <sheetName val="총괄 (1)"/>
      <sheetName val="내역 (1)"/>
      <sheetName val="내역서 EC07"/>
      <sheetName val="계산서 EC07"/>
      <sheetName val="계산서 EC06"/>
      <sheetName val="내역서 EC06"/>
      <sheetName val="계산서 EC05"/>
      <sheetName val="내역서 EC05"/>
      <sheetName val="계산서 EC04"/>
      <sheetName val="내역서 EC04"/>
      <sheetName val="계산서 EC03"/>
      <sheetName val="내역서 EC03"/>
      <sheetName val="내역서 EC02"/>
      <sheetName val="계산서 EC02"/>
      <sheetName val="내역서 EC01"/>
      <sheetName val="계산서 EC01"/>
      <sheetName val="계측"/>
      <sheetName val="계측총괄"/>
      <sheetName val="00,집계표"/>
      <sheetName val="매크로"/>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
      <sheetName val="A 2.1 PY"/>
      <sheetName val="A 2.1 CY"/>
      <sheetName val="A 2.1 EY"/>
      <sheetName val="A 2.2"/>
      <sheetName val="A 2.3"/>
      <sheetName val="Power Pur 3.1 (PY)"/>
      <sheetName val="Power Pur 3.1 (CY)"/>
      <sheetName val="Power Pur 3.1 (EY)"/>
      <sheetName val="A 3.2"/>
      <sheetName val="A 3.3 PY"/>
      <sheetName val="A 3.3 CY"/>
      <sheetName val="A 3.3 EY"/>
      <sheetName val="A 3.4"/>
      <sheetName val="A 3.5"/>
      <sheetName val="A 3.6 (PY)"/>
      <sheetName val="A 3.6 (CY)"/>
      <sheetName val="A 3.6 (EY)"/>
      <sheetName val="A 3.7"/>
      <sheetName val="A 3.8"/>
      <sheetName val="A 3.9"/>
      <sheetName val="A 3.10 "/>
      <sheetName val="A-5.1(PY)"/>
      <sheetName val="A-5.1(CY) "/>
      <sheetName val="A-5.1(EY)"/>
      <sheetName val="A-5.2(PY)"/>
      <sheetName val="A-5.2(CY)"/>
      <sheetName val="A-5.2(EY)"/>
      <sheetName val="A -5.3"/>
      <sheetName val="form 6.1 (PY) Gen"/>
      <sheetName val="form 6.1(PY)T&amp;D "/>
      <sheetName val="form 6.1 (CY) Gen"/>
      <sheetName val="form 6.1(CY) T&amp;D"/>
      <sheetName val="form 6.1 (EY) Gen "/>
      <sheetName val="form 6.1(EY) T&amp;D"/>
      <sheetName val="A 7.1"/>
      <sheetName val="A 7.2"/>
      <sheetName val="A 7.3"/>
      <sheetName val="A 7.4"/>
      <sheetName val="A 8.1"/>
      <sheetName val="A 8.2"/>
      <sheetName val="A 8.3"/>
      <sheetName val="A 8.4"/>
      <sheetName val="A 8.5"/>
      <sheetName val="A 8.6"/>
      <sheetName val="A 8.7"/>
      <sheetName val="A 8.8"/>
      <sheetName val="A 8.9"/>
      <sheetName val="A 8.10"/>
      <sheetName val="8.11 PY"/>
      <sheetName val="8.11 CY"/>
      <sheetName val="8.11 EY"/>
      <sheetName val="A-10.1"/>
      <sheetName val="A 10.2 (A)"/>
      <sheetName val="A 10.2 B"/>
      <sheetName val="A 10.2 C"/>
      <sheetName val="A 10.2 D"/>
      <sheetName val="A 10.3"/>
      <sheetName val="A 10.4"/>
      <sheetName val="Rev Calculation"/>
      <sheetName val="A 9.1"/>
      <sheetName val="A-1_1_"/>
      <sheetName val="A_2_1_PY"/>
      <sheetName val="A_2_1_CY"/>
      <sheetName val="A_2_1_EY"/>
      <sheetName val="A_2_2"/>
      <sheetName val="A_2_3"/>
      <sheetName val="Power_Pur_3_1_(PY)"/>
      <sheetName val="Power_Pur_3_1_(CY)"/>
      <sheetName val="Power_Pur_3_1_(EY)"/>
      <sheetName val="A_3_2"/>
      <sheetName val="A_3_3_PY"/>
      <sheetName val="A_3_3_CY"/>
      <sheetName val="A_3_3_EY"/>
      <sheetName val="A_3_4"/>
      <sheetName val="A_3_5"/>
      <sheetName val="A_3_6_(PY)"/>
      <sheetName val="A_3_6_(CY)"/>
      <sheetName val="A_3_6_(EY)"/>
      <sheetName val="A_3_7"/>
      <sheetName val="A_3_8"/>
      <sheetName val="A_3_9"/>
      <sheetName val="A_3_10_"/>
      <sheetName val="A-5_1(PY)"/>
      <sheetName val="A-5_1(CY)_"/>
      <sheetName val="A-5_1(EY)"/>
      <sheetName val="A-5_2(PY)"/>
      <sheetName val="A-5_2(CY)"/>
      <sheetName val="A-5_2(EY)"/>
      <sheetName val="A_-5_3"/>
      <sheetName val="form_6_1_(PY)_Gen"/>
      <sheetName val="form_6_1(PY)T&amp;D_"/>
      <sheetName val="form_6_1_(CY)_Gen"/>
      <sheetName val="form_6_1(CY)_T&amp;D"/>
      <sheetName val="form_6_1_(EY)_Gen_"/>
      <sheetName val="form_6_1(EY)_T&amp;D"/>
      <sheetName val="A_7_1"/>
      <sheetName val="A_7_2"/>
      <sheetName val="A_7_3"/>
      <sheetName val="A_7_4"/>
      <sheetName val="A_8_1"/>
      <sheetName val="A_8_2"/>
      <sheetName val="A_8_3"/>
      <sheetName val="A_8_4"/>
      <sheetName val="A_8_5"/>
      <sheetName val="A_8_6"/>
      <sheetName val="A_8_7"/>
      <sheetName val="A_8_8"/>
      <sheetName val="A_8_9"/>
      <sheetName val="A_8_10"/>
      <sheetName val="8_11_PY"/>
      <sheetName val="8_11_CY"/>
      <sheetName val="8_11_EY"/>
      <sheetName val="A-10_1"/>
      <sheetName val="A_10_2_(A)"/>
      <sheetName val="A_10_2_B"/>
      <sheetName val="A_10_2_C"/>
      <sheetName val="A_10_2_D"/>
      <sheetName val="A_10_3"/>
      <sheetName val="A_10_4"/>
      <sheetName val="Rev_Calculation"/>
      <sheetName val="A_9_1"/>
      <sheetName val="A 3_7"/>
      <sheetName val="Loan Posi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5">
          <cell r="I35">
            <v>63490.540060935658</v>
          </cell>
        </row>
        <row r="44">
          <cell r="I44">
            <v>17654.636270525258</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ReadMe"/>
      <sheetName val="Input data"/>
      <sheetName val="Memo table"/>
      <sheetName val="MERC Formats"/>
      <sheetName val="FAC (Mth to Mth)"/>
      <sheetName val="Actual Perf"/>
      <sheetName val="FAC (Running FAC)"/>
      <sheetName val="FAC (Mth to Mth Summ)"/>
      <sheetName val="TariffOrder values"/>
      <sheetName val="Disallowances"/>
      <sheetName val="ChangeInCost"/>
      <sheetName val="Approtionment"/>
      <sheetName val="FAC (Running FAC with MSEB)"/>
      <sheetName val="Purch-Dec05"/>
      <sheetName val="Rev@NewTar"/>
      <sheetName val="tmp"/>
      <sheetName val="per un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1">
          <cell r="B21">
            <v>38443</v>
          </cell>
          <cell r="C21">
            <v>912.35970686999997</v>
          </cell>
          <cell r="D21">
            <v>0</v>
          </cell>
          <cell r="E21">
            <v>8.7531449101420975</v>
          </cell>
          <cell r="F21">
            <v>0</v>
          </cell>
          <cell r="G21">
            <v>0</v>
          </cell>
          <cell r="H21">
            <v>8.7531449101420975</v>
          </cell>
          <cell r="J21">
            <v>-8.5224454624684594</v>
          </cell>
          <cell r="K21">
            <v>-34.275600273057563</v>
          </cell>
          <cell r="L21">
            <v>-42.798045735526024</v>
          </cell>
          <cell r="P21">
            <v>1.5895999999999998E-4</v>
          </cell>
        </row>
        <row r="22">
          <cell r="B22">
            <v>38473</v>
          </cell>
          <cell r="C22">
            <v>921.48856249999994</v>
          </cell>
          <cell r="D22">
            <v>0</v>
          </cell>
          <cell r="E22">
            <v>10.825945055500185</v>
          </cell>
          <cell r="F22">
            <v>0</v>
          </cell>
          <cell r="G22">
            <v>0</v>
          </cell>
          <cell r="H22">
            <v>10.825945055500185</v>
          </cell>
          <cell r="J22">
            <v>-12.965510284044486</v>
          </cell>
          <cell r="K22">
            <v>-6.3025277077675961</v>
          </cell>
          <cell r="L22">
            <v>-19.268037991812083</v>
          </cell>
          <cell r="P22">
            <v>2.283696E-3</v>
          </cell>
        </row>
        <row r="23">
          <cell r="B23">
            <v>38504</v>
          </cell>
          <cell r="C23">
            <v>953.67422450000004</v>
          </cell>
          <cell r="D23">
            <v>0</v>
          </cell>
          <cell r="E23">
            <v>31.765384524745581</v>
          </cell>
          <cell r="F23">
            <v>0</v>
          </cell>
          <cell r="G23">
            <v>0</v>
          </cell>
          <cell r="H23">
            <v>31.765384524745581</v>
          </cell>
          <cell r="I23">
            <v>31.765384524745581</v>
          </cell>
          <cell r="J23">
            <v>8.7531449101420975</v>
          </cell>
          <cell r="K23">
            <v>-42.798204695526024</v>
          </cell>
          <cell r="L23">
            <v>-34.045059785383927</v>
          </cell>
          <cell r="M23">
            <v>-37</v>
          </cell>
          <cell r="N23">
            <v>20.7</v>
          </cell>
          <cell r="O23">
            <v>-37</v>
          </cell>
          <cell r="P23">
            <v>1.6431668999999999E-2</v>
          </cell>
        </row>
        <row r="24">
          <cell r="B24">
            <v>38534</v>
          </cell>
          <cell r="C24">
            <v>857.55908499999998</v>
          </cell>
          <cell r="D24">
            <v>7.6763663608600474</v>
          </cell>
          <cell r="E24">
            <v>27.405350648586118</v>
          </cell>
          <cell r="F24">
            <v>0</v>
          </cell>
          <cell r="H24">
            <v>27.405350648586118</v>
          </cell>
          <cell r="I24">
            <v>59.1707351733317</v>
          </cell>
          <cell r="J24">
            <v>10.825945055500185</v>
          </cell>
          <cell r="K24">
            <v>-19.270321687812082</v>
          </cell>
          <cell r="L24">
            <v>-8.4443766323118972</v>
          </cell>
          <cell r="M24">
            <v>-9</v>
          </cell>
          <cell r="N24">
            <v>20.7</v>
          </cell>
          <cell r="O24">
            <v>-9</v>
          </cell>
          <cell r="P24">
            <v>0</v>
          </cell>
        </row>
        <row r="25">
          <cell r="B25">
            <v>38565</v>
          </cell>
          <cell r="C25">
            <v>858.52010299999995</v>
          </cell>
          <cell r="D25">
            <v>17.978372768207862</v>
          </cell>
          <cell r="E25">
            <v>12.607971445217576</v>
          </cell>
          <cell r="F25">
            <v>0</v>
          </cell>
          <cell r="G25">
            <v>0</v>
          </cell>
          <cell r="H25">
            <v>12.607971445217576</v>
          </cell>
          <cell r="I25">
            <v>71.778706618549279</v>
          </cell>
          <cell r="J25">
            <v>31.765384524745581</v>
          </cell>
          <cell r="K25">
            <v>-34.061491454383926</v>
          </cell>
          <cell r="L25">
            <v>-2.296106929638345</v>
          </cell>
          <cell r="M25">
            <v>-2</v>
          </cell>
          <cell r="N25">
            <v>20.7</v>
          </cell>
          <cell r="O25">
            <v>-2</v>
          </cell>
          <cell r="P25">
            <v>0</v>
          </cell>
        </row>
        <row r="26">
          <cell r="B26">
            <v>38596</v>
          </cell>
          <cell r="C26">
            <v>1007.752671</v>
          </cell>
          <cell r="D26">
            <v>0</v>
          </cell>
          <cell r="E26">
            <v>25.747932457520623</v>
          </cell>
          <cell r="F26">
            <v>0</v>
          </cell>
          <cell r="G26">
            <v>0</v>
          </cell>
          <cell r="H26">
            <v>25.747932457520623</v>
          </cell>
          <cell r="I26">
            <v>97.526639076069898</v>
          </cell>
          <cell r="J26">
            <v>27.405350648586118</v>
          </cell>
          <cell r="K26">
            <v>-8.4443766323118972</v>
          </cell>
          <cell r="L26">
            <v>18.960974016274221</v>
          </cell>
          <cell r="M26">
            <v>22</v>
          </cell>
          <cell r="N26">
            <v>20.7</v>
          </cell>
          <cell r="O26">
            <v>20.7</v>
          </cell>
          <cell r="P26">
            <v>18.349204176000057</v>
          </cell>
        </row>
        <row r="27">
          <cell r="B27">
            <v>38626</v>
          </cell>
          <cell r="C27">
            <v>957.31288700000005</v>
          </cell>
          <cell r="D27">
            <v>0.44518075860396422</v>
          </cell>
          <cell r="E27">
            <v>81.968620405799953</v>
          </cell>
          <cell r="F27">
            <v>0</v>
          </cell>
          <cell r="G27">
            <v>0</v>
          </cell>
          <cell r="H27">
            <v>81.968620405799953</v>
          </cell>
          <cell r="I27">
            <v>179.49525948186985</v>
          </cell>
          <cell r="J27">
            <v>12.607971445217576</v>
          </cell>
          <cell r="K27">
            <v>-2.296106929638345</v>
          </cell>
          <cell r="L27">
            <v>10.311864515579231</v>
          </cell>
          <cell r="M27">
            <v>12</v>
          </cell>
          <cell r="N27">
            <v>20.7</v>
          </cell>
          <cell r="O27">
            <v>12</v>
          </cell>
          <cell r="P27">
            <v>12.038489772000288</v>
          </cell>
        </row>
        <row r="28">
          <cell r="B28">
            <v>38657</v>
          </cell>
          <cell r="C28">
            <v>792.451866</v>
          </cell>
          <cell r="D28">
            <v>0</v>
          </cell>
          <cell r="E28">
            <v>49.253195426011239</v>
          </cell>
          <cell r="F28">
            <v>4.8848783257558802E-3</v>
          </cell>
          <cell r="G28">
            <v>0</v>
          </cell>
          <cell r="H28">
            <v>49.248310547685485</v>
          </cell>
          <cell r="I28">
            <v>228.74357002955534</v>
          </cell>
          <cell r="J28">
            <v>25.747932457520623</v>
          </cell>
          <cell r="K28">
            <v>0.61176984027416381</v>
          </cell>
          <cell r="L28">
            <v>26.359702297794787</v>
          </cell>
          <cell r="M28">
            <v>26</v>
          </cell>
          <cell r="N28">
            <v>20.7</v>
          </cell>
          <cell r="O28">
            <v>20.7</v>
          </cell>
          <cell r="P28">
            <v>19.996818122000033</v>
          </cell>
        </row>
        <row r="29">
          <cell r="B29">
            <v>38687</v>
          </cell>
          <cell r="C29">
            <v>758.07120499999996</v>
          </cell>
          <cell r="D29">
            <v>0.73432430299994778</v>
          </cell>
          <cell r="E29">
            <v>42.676405030408958</v>
          </cell>
          <cell r="F29">
            <v>0</v>
          </cell>
          <cell r="G29">
            <v>0</v>
          </cell>
          <cell r="H29">
            <v>42.676405030408958</v>
          </cell>
          <cell r="I29">
            <v>271.41997505996432</v>
          </cell>
          <cell r="J29">
            <v>81.968620405799953</v>
          </cell>
          <cell r="K29">
            <v>-1.7266252564210571</v>
          </cell>
          <cell r="L29">
            <v>80.241995149378894</v>
          </cell>
          <cell r="M29">
            <v>84</v>
          </cell>
          <cell r="N29">
            <v>20.7</v>
          </cell>
          <cell r="O29">
            <v>20.7</v>
          </cell>
          <cell r="P29">
            <v>16.645479757999851</v>
          </cell>
        </row>
        <row r="30">
          <cell r="B30">
            <v>38718</v>
          </cell>
          <cell r="C30">
            <v>731.51615700000002</v>
          </cell>
          <cell r="D30">
            <v>2.6891918095966076</v>
          </cell>
          <cell r="E30">
            <v>84.40975563211218</v>
          </cell>
          <cell r="F30">
            <v>0</v>
          </cell>
          <cell r="H30">
            <v>84.40975563211218</v>
          </cell>
          <cell r="I30">
            <v>355.82973069207651</v>
          </cell>
          <cell r="J30">
            <v>49.248310547685485</v>
          </cell>
          <cell r="K30">
            <v>6.3628841757947541</v>
          </cell>
          <cell r="L30">
            <v>55.611194723480239</v>
          </cell>
          <cell r="M30">
            <v>70</v>
          </cell>
          <cell r="N30">
            <v>20.7</v>
          </cell>
          <cell r="O30">
            <v>20.7</v>
          </cell>
          <cell r="P30">
            <v>15.982246125000003</v>
          </cell>
        </row>
        <row r="31">
          <cell r="B31">
            <v>38749</v>
          </cell>
          <cell r="C31">
            <v>785.08427300000005</v>
          </cell>
          <cell r="D31">
            <v>0</v>
          </cell>
          <cell r="E31">
            <v>88.798479269009746</v>
          </cell>
          <cell r="F31">
            <v>0</v>
          </cell>
          <cell r="H31">
            <v>88.798479269009746</v>
          </cell>
          <cell r="I31">
            <v>444.62820996108627</v>
          </cell>
          <cell r="J31">
            <v>42.676405030408958</v>
          </cell>
          <cell r="K31">
            <v>63.596515391379043</v>
          </cell>
          <cell r="L31">
            <v>106.272920421788</v>
          </cell>
          <cell r="M31">
            <v>140</v>
          </cell>
          <cell r="N31">
            <v>20.7</v>
          </cell>
          <cell r="O31">
            <v>20.7</v>
          </cell>
          <cell r="P31">
            <v>15.487321558999998</v>
          </cell>
        </row>
        <row r="32">
          <cell r="B32">
            <v>38777</v>
          </cell>
          <cell r="C32">
            <v>885.49503800000002</v>
          </cell>
          <cell r="D32">
            <v>9.1125845310039857</v>
          </cell>
          <cell r="E32">
            <v>41.234682847842151</v>
          </cell>
          <cell r="F32">
            <v>0</v>
          </cell>
          <cell r="H32">
            <v>41.234682847842151</v>
          </cell>
          <cell r="I32">
            <v>485.86289280892845</v>
          </cell>
          <cell r="J32">
            <v>84.40975563211218</v>
          </cell>
          <cell r="K32">
            <v>39.628948598480235</v>
          </cell>
          <cell r="L32">
            <v>124.03870423059242</v>
          </cell>
          <cell r="M32">
            <v>169</v>
          </cell>
          <cell r="N32">
            <v>20.7</v>
          </cell>
          <cell r="O32">
            <v>20.7</v>
          </cell>
          <cell r="P32">
            <v>16.366669048000002</v>
          </cell>
        </row>
        <row r="33">
          <cell r="B33">
            <v>38808</v>
          </cell>
          <cell r="C33">
            <v>927.65004599999997</v>
          </cell>
          <cell r="D33">
            <v>0</v>
          </cell>
          <cell r="E33">
            <v>53.203486007437007</v>
          </cell>
          <cell r="F33">
            <v>0</v>
          </cell>
          <cell r="H33">
            <v>53.203486007437007</v>
          </cell>
          <cell r="J33">
            <v>88.798479269009746</v>
          </cell>
          <cell r="K33">
            <v>90.785598862788007</v>
          </cell>
          <cell r="L33">
            <v>179.58407813179775</v>
          </cell>
          <cell r="M33">
            <v>229</v>
          </cell>
          <cell r="N33">
            <v>20.7</v>
          </cell>
          <cell r="O33">
            <v>20.7</v>
          </cell>
          <cell r="P33">
            <v>18.710808059000005</v>
          </cell>
        </row>
        <row r="34">
          <cell r="B34">
            <v>38838</v>
          </cell>
          <cell r="C34">
            <v>995.59135900000001</v>
          </cell>
          <cell r="D34">
            <v>5.104326032928018</v>
          </cell>
          <cell r="E34">
            <v>110.67401118321864</v>
          </cell>
          <cell r="F34">
            <v>0</v>
          </cell>
          <cell r="H34">
            <v>110.67401118321864</v>
          </cell>
          <cell r="J34">
            <v>41.234682847842151</v>
          </cell>
          <cell r="K34">
            <v>107.67203518259241</v>
          </cell>
          <cell r="L34">
            <v>148.90671803043455</v>
          </cell>
          <cell r="M34">
            <v>166</v>
          </cell>
          <cell r="N34">
            <v>20.7</v>
          </cell>
          <cell r="O34">
            <v>20.7</v>
          </cell>
          <cell r="P34">
            <v>19.372160891999993</v>
          </cell>
        </row>
        <row r="35">
          <cell r="B35">
            <v>38869</v>
          </cell>
          <cell r="C35">
            <v>987.04597200000001</v>
          </cell>
          <cell r="D35">
            <v>0</v>
          </cell>
          <cell r="E35">
            <v>85.684876029405146</v>
          </cell>
          <cell r="F35">
            <v>0</v>
          </cell>
          <cell r="H35">
            <v>85.684876029405146</v>
          </cell>
          <cell r="J35">
            <v>53.203486007437007</v>
          </cell>
          <cell r="K35">
            <v>160.87327007279774</v>
          </cell>
          <cell r="L35">
            <v>214.07675608023476</v>
          </cell>
          <cell r="M35">
            <v>231</v>
          </cell>
          <cell r="N35">
            <v>20.7</v>
          </cell>
          <cell r="O35">
            <v>20.7</v>
          </cell>
          <cell r="P35">
            <v>21.067656329999998</v>
          </cell>
        </row>
        <row r="36">
          <cell r="B36">
            <v>38899</v>
          </cell>
          <cell r="C36">
            <v>916.96296258099994</v>
          </cell>
          <cell r="D36">
            <v>0.59866119785182192</v>
          </cell>
          <cell r="E36">
            <v>92.984247192748811</v>
          </cell>
          <cell r="F36">
            <v>0</v>
          </cell>
          <cell r="H36">
            <v>92.984247192748811</v>
          </cell>
          <cell r="J36">
            <v>110.67401118321864</v>
          </cell>
          <cell r="K36">
            <v>129.53455713843456</v>
          </cell>
          <cell r="L36">
            <v>240.20856832165322</v>
          </cell>
          <cell r="M36">
            <v>240</v>
          </cell>
          <cell r="N36">
            <v>20.7</v>
          </cell>
          <cell r="O36">
            <v>20.7</v>
          </cell>
          <cell r="P36">
            <v>20.609815001999994</v>
          </cell>
        </row>
        <row r="37">
          <cell r="B37">
            <v>38930</v>
          </cell>
          <cell r="C37">
            <v>1023.286157419</v>
          </cell>
          <cell r="D37">
            <v>0</v>
          </cell>
          <cell r="E37">
            <v>32.564436331243357</v>
          </cell>
          <cell r="F37">
            <v>0</v>
          </cell>
          <cell r="H37">
            <v>32.564436331243357</v>
          </cell>
          <cell r="J37">
            <v>85.684876029405146</v>
          </cell>
          <cell r="K37">
            <v>193.00909975023475</v>
          </cell>
          <cell r="L37">
            <v>278.69397577963991</v>
          </cell>
          <cell r="M37">
            <v>282</v>
          </cell>
          <cell r="N37">
            <v>20.7</v>
          </cell>
          <cell r="O37">
            <v>20.7</v>
          </cell>
          <cell r="P37">
            <v>19.405590744000001</v>
          </cell>
        </row>
        <row r="38">
          <cell r="B38">
            <v>38961</v>
          </cell>
          <cell r="C38">
            <v>965.32026099999996</v>
          </cell>
          <cell r="D38">
            <v>0</v>
          </cell>
          <cell r="E38">
            <v>54.808279508052308</v>
          </cell>
          <cell r="F38">
            <v>0</v>
          </cell>
          <cell r="H38">
            <v>54.808279508052308</v>
          </cell>
          <cell r="J38">
            <v>92.984247192748811</v>
          </cell>
          <cell r="K38">
            <v>219.59875331965321</v>
          </cell>
          <cell r="L38">
            <v>312.58300051240201</v>
          </cell>
          <cell r="M38">
            <v>341</v>
          </cell>
          <cell r="N38">
            <v>20.7</v>
          </cell>
          <cell r="O38">
            <v>20.7</v>
          </cell>
          <cell r="P38">
            <v>21.549698222</v>
          </cell>
        </row>
        <row r="39">
          <cell r="B39">
            <v>38991</v>
          </cell>
          <cell r="C39">
            <v>0</v>
          </cell>
          <cell r="D39">
            <v>0</v>
          </cell>
          <cell r="E39">
            <v>0</v>
          </cell>
          <cell r="F39">
            <v>0</v>
          </cell>
          <cell r="H39">
            <v>0</v>
          </cell>
          <cell r="J39">
            <v>32.564436331243357</v>
          </cell>
          <cell r="K39">
            <v>259.28838503563992</v>
          </cell>
          <cell r="L39">
            <v>291.85282136688329</v>
          </cell>
          <cell r="M39">
            <v>285</v>
          </cell>
          <cell r="N39">
            <v>20.7</v>
          </cell>
          <cell r="O39">
            <v>20.7</v>
          </cell>
          <cell r="P39">
            <v>0</v>
          </cell>
        </row>
        <row r="40">
          <cell r="B40">
            <v>39022</v>
          </cell>
          <cell r="C40">
            <v>0</v>
          </cell>
          <cell r="D40">
            <v>0</v>
          </cell>
          <cell r="E40">
            <v>0</v>
          </cell>
          <cell r="F40">
            <v>0</v>
          </cell>
          <cell r="H40">
            <v>0</v>
          </cell>
          <cell r="J40">
            <v>54.808279508052308</v>
          </cell>
          <cell r="K40">
            <v>291.03330229040199</v>
          </cell>
          <cell r="L40">
            <v>345.84158179845429</v>
          </cell>
          <cell r="M40">
            <v>358</v>
          </cell>
          <cell r="N40">
            <v>20.7</v>
          </cell>
          <cell r="O40">
            <v>20.7</v>
          </cell>
          <cell r="P40">
            <v>0</v>
          </cell>
        </row>
        <row r="41">
          <cell r="B41">
            <v>39052</v>
          </cell>
          <cell r="C41">
            <v>0</v>
          </cell>
          <cell r="D41">
            <v>0</v>
          </cell>
          <cell r="E41">
            <v>0</v>
          </cell>
          <cell r="F41">
            <v>0</v>
          </cell>
          <cell r="H41">
            <v>0</v>
          </cell>
          <cell r="J41">
            <v>0</v>
          </cell>
          <cell r="K41">
            <v>291.85282136688329</v>
          </cell>
          <cell r="L41">
            <v>291.85282136688329</v>
          </cell>
          <cell r="M41">
            <v>0</v>
          </cell>
          <cell r="N41">
            <v>20.7</v>
          </cell>
          <cell r="O41">
            <v>0</v>
          </cell>
          <cell r="P41">
            <v>0</v>
          </cell>
        </row>
        <row r="42">
          <cell r="B42">
            <v>39083</v>
          </cell>
          <cell r="C42">
            <v>0</v>
          </cell>
          <cell r="D42">
            <v>0</v>
          </cell>
          <cell r="E42">
            <v>0</v>
          </cell>
          <cell r="F42">
            <v>0</v>
          </cell>
          <cell r="H42">
            <v>0</v>
          </cell>
          <cell r="J42">
            <v>0</v>
          </cell>
          <cell r="K42">
            <v>345.84158179845429</v>
          </cell>
          <cell r="L42">
            <v>345.84158179845429</v>
          </cell>
          <cell r="M42">
            <v>0</v>
          </cell>
          <cell r="N42">
            <v>20.7</v>
          </cell>
          <cell r="O42">
            <v>0</v>
          </cell>
          <cell r="P42">
            <v>0</v>
          </cell>
        </row>
        <row r="43">
          <cell r="B43">
            <v>39114</v>
          </cell>
          <cell r="C43">
            <v>0</v>
          </cell>
          <cell r="D43">
            <v>0</v>
          </cell>
          <cell r="E43">
            <v>0</v>
          </cell>
          <cell r="F43">
            <v>0</v>
          </cell>
          <cell r="H43">
            <v>0</v>
          </cell>
          <cell r="J43">
            <v>0</v>
          </cell>
          <cell r="K43">
            <v>291.85282136688329</v>
          </cell>
          <cell r="L43">
            <v>291.85282136688329</v>
          </cell>
          <cell r="M43">
            <v>0</v>
          </cell>
          <cell r="N43">
            <v>20.7</v>
          </cell>
          <cell r="O43">
            <v>0</v>
          </cell>
          <cell r="P43">
            <v>0</v>
          </cell>
        </row>
        <row r="44">
          <cell r="B44">
            <v>39142</v>
          </cell>
          <cell r="C44">
            <v>0</v>
          </cell>
          <cell r="D44">
            <v>0</v>
          </cell>
          <cell r="E44">
            <v>0</v>
          </cell>
          <cell r="F44">
            <v>0</v>
          </cell>
          <cell r="H44">
            <v>0</v>
          </cell>
          <cell r="J44">
            <v>0</v>
          </cell>
          <cell r="K44">
            <v>345.84158179845429</v>
          </cell>
          <cell r="L44">
            <v>345.84158179845429</v>
          </cell>
          <cell r="M44">
            <v>0</v>
          </cell>
          <cell r="N44">
            <v>20.7</v>
          </cell>
          <cell r="O44">
            <v>0</v>
          </cell>
          <cell r="P44">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
      <sheetName val="Sheet1"/>
      <sheetName val="Input Gen "/>
      <sheetName val="Gen+Fuel Cost(as per TO) Ann-2"/>
      <sheetName val="Gen+Fuel Cost (old TO) Ann-2"/>
      <sheetName val="Gen+Fuel Cost old"/>
      <sheetName val="Gen"/>
      <sheetName val="Gen+FAC"/>
      <sheetName val="Total Annex (2)"/>
      <sheetName val="BEST Bill (Generation+FAC)"/>
      <sheetName val="BEST Bill (Generation+Re FAC)"/>
      <sheetName val="BEST-Annex"/>
      <sheetName val="REL Bill (Generation+FAC)"/>
      <sheetName val="REL Bill (Generation+Re FAC)"/>
      <sheetName val="REL-Annex"/>
      <sheetName val="TPC-D (Generation) "/>
      <sheetName val="TPC-D (Gen)  revised UI rate"/>
      <sheetName val="TPC-D-Annex"/>
      <sheetName val="FAC (TPC-D) (TO Method)"/>
      <sheetName val="Tar Summ"/>
      <sheetName val="BEST Overdue"/>
      <sheetName val="BEST Bill (FAC Under-Recover)"/>
      <sheetName val="REL Bill (FAC Under-Recovery)"/>
      <sheetName val="Capacity Index Incentive"/>
      <sheetName val="Incentive-H1"/>
      <sheetName val="Incentive-H2"/>
      <sheetName val="Metered 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37">
          <cell r="E37">
            <v>16.033550000000005</v>
          </cell>
        </row>
      </sheetData>
      <sheetData sheetId="25" refreshError="1"/>
      <sheetData sheetId="26">
        <row r="3">
          <cell r="B3" t="str">
            <v>Month</v>
          </cell>
          <cell r="C3" t="str">
            <v>22/33 kV</v>
          </cell>
          <cell r="D3" t="str">
            <v>100 kV</v>
          </cell>
          <cell r="E3" t="str">
            <v>Total</v>
          </cell>
          <cell r="F3" t="str">
            <v>22/33 kV</v>
          </cell>
          <cell r="G3" t="str">
            <v>220 kV (F)</v>
          </cell>
          <cell r="H3" t="str">
            <v>220 kV (R)</v>
          </cell>
          <cell r="I3" t="str">
            <v>Total</v>
          </cell>
          <cell r="K3" t="str">
            <v>Net</v>
          </cell>
          <cell r="L3" t="str">
            <v>Metered</v>
          </cell>
          <cell r="M3">
            <v>53414606.5</v>
          </cell>
          <cell r="N3" t="str">
            <v>Net</v>
          </cell>
        </row>
        <row r="4">
          <cell r="B4">
            <v>39173</v>
          </cell>
          <cell r="C4">
            <v>390593688</v>
          </cell>
          <cell r="E4">
            <v>390593688</v>
          </cell>
          <cell r="F4">
            <v>303126840</v>
          </cell>
          <cell r="G4">
            <v>136444000</v>
          </cell>
          <cell r="H4">
            <v>0</v>
          </cell>
          <cell r="I4">
            <v>439570840</v>
          </cell>
          <cell r="J4">
            <v>212013218.5</v>
          </cell>
          <cell r="K4">
            <v>49688000</v>
          </cell>
          <cell r="L4">
            <v>209041823</v>
          </cell>
          <cell r="M4">
            <v>56386002</v>
          </cell>
          <cell r="N4">
            <v>2971395.5</v>
          </cell>
        </row>
        <row r="5">
          <cell r="B5">
            <v>39203</v>
          </cell>
          <cell r="C5">
            <v>408253848</v>
          </cell>
          <cell r="E5">
            <v>408253848</v>
          </cell>
          <cell r="F5">
            <v>309261997</v>
          </cell>
          <cell r="G5">
            <v>149492000</v>
          </cell>
          <cell r="H5">
            <v>8000</v>
          </cell>
          <cell r="I5">
            <v>458745997</v>
          </cell>
          <cell r="J5">
            <v>213906839</v>
          </cell>
          <cell r="K5">
            <v>0</v>
          </cell>
          <cell r="L5">
            <v>212749175</v>
          </cell>
          <cell r="M5">
            <v>57543666</v>
          </cell>
          <cell r="N5">
            <v>1157664</v>
          </cell>
        </row>
        <row r="6">
          <cell r="B6">
            <v>39234</v>
          </cell>
          <cell r="C6">
            <v>396758784</v>
          </cell>
          <cell r="E6">
            <v>396758784</v>
          </cell>
          <cell r="F6">
            <v>293872603</v>
          </cell>
          <cell r="G6">
            <v>144776000</v>
          </cell>
          <cell r="H6">
            <v>44000</v>
          </cell>
          <cell r="I6">
            <v>438604603</v>
          </cell>
          <cell r="J6">
            <v>236038365</v>
          </cell>
          <cell r="L6">
            <v>231236566.99999997</v>
          </cell>
          <cell r="M6">
            <v>62345464</v>
          </cell>
          <cell r="N6">
            <v>4801798</v>
          </cell>
        </row>
        <row r="7">
          <cell r="B7">
            <v>39264</v>
          </cell>
          <cell r="C7">
            <v>390712344</v>
          </cell>
          <cell r="E7">
            <v>390712344</v>
          </cell>
          <cell r="F7">
            <v>295501054</v>
          </cell>
          <cell r="G7">
            <v>194580000</v>
          </cell>
          <cell r="H7">
            <v>0</v>
          </cell>
          <cell r="I7">
            <v>490081054</v>
          </cell>
          <cell r="J7">
            <v>214521653.5</v>
          </cell>
          <cell r="L7">
            <v>219036002.00000003</v>
          </cell>
          <cell r="M7">
            <v>57831115.5</v>
          </cell>
          <cell r="N7">
            <v>-4514348.5</v>
          </cell>
        </row>
        <row r="8">
          <cell r="B8">
            <v>39295</v>
          </cell>
          <cell r="C8">
            <v>379732416</v>
          </cell>
          <cell r="E8">
            <v>379732416</v>
          </cell>
          <cell r="F8">
            <v>281212696</v>
          </cell>
          <cell r="G8">
            <v>108264000</v>
          </cell>
          <cell r="I8">
            <v>389476696</v>
          </cell>
          <cell r="J8">
            <v>211770451.5</v>
          </cell>
          <cell r="L8">
            <v>214381450</v>
          </cell>
          <cell r="M8">
            <v>55220117</v>
          </cell>
          <cell r="N8">
            <v>-2610998.5</v>
          </cell>
        </row>
        <row r="9">
          <cell r="B9">
            <v>39326</v>
          </cell>
          <cell r="C9">
            <v>370776632</v>
          </cell>
          <cell r="E9">
            <v>370776632</v>
          </cell>
          <cell r="F9">
            <v>302975758</v>
          </cell>
          <cell r="G9">
            <v>108760000</v>
          </cell>
          <cell r="I9">
            <v>411735758</v>
          </cell>
          <cell r="J9">
            <v>205857769</v>
          </cell>
          <cell r="L9">
            <v>207645701</v>
          </cell>
          <cell r="M9">
            <v>53432185</v>
          </cell>
          <cell r="N9">
            <v>-1787932</v>
          </cell>
        </row>
        <row r="10">
          <cell r="B10">
            <v>39356</v>
          </cell>
          <cell r="H10">
            <v>0</v>
          </cell>
          <cell r="I10">
            <v>0</v>
          </cell>
          <cell r="J10">
            <v>-53432185</v>
          </cell>
          <cell r="N10">
            <v>-53432185</v>
          </cell>
        </row>
        <row r="11">
          <cell r="B11">
            <v>39387</v>
          </cell>
          <cell r="H11">
            <v>0</v>
          </cell>
          <cell r="I11">
            <v>0</v>
          </cell>
          <cell r="J11">
            <v>0</v>
          </cell>
          <cell r="N11">
            <v>0</v>
          </cell>
        </row>
        <row r="12">
          <cell r="B12">
            <v>39417</v>
          </cell>
          <cell r="H12">
            <v>0</v>
          </cell>
          <cell r="I12">
            <v>0</v>
          </cell>
          <cell r="J12">
            <v>0</v>
          </cell>
          <cell r="N12">
            <v>0</v>
          </cell>
        </row>
        <row r="13">
          <cell r="B13">
            <v>39448</v>
          </cell>
          <cell r="I13">
            <v>0</v>
          </cell>
          <cell r="J13">
            <v>0</v>
          </cell>
          <cell r="N13">
            <v>0</v>
          </cell>
        </row>
        <row r="14">
          <cell r="B14">
            <v>39479</v>
          </cell>
          <cell r="I14">
            <v>0</v>
          </cell>
          <cell r="J14">
            <v>0</v>
          </cell>
          <cell r="N14">
            <v>0</v>
          </cell>
        </row>
        <row r="15">
          <cell r="B15">
            <v>39508</v>
          </cell>
          <cell r="I15">
            <v>0</v>
          </cell>
          <cell r="J15">
            <v>0</v>
          </cell>
          <cell r="N15">
            <v>0</v>
          </cell>
        </row>
        <row r="16">
          <cell r="B16" t="str">
            <v>Total</v>
          </cell>
          <cell r="C16">
            <v>2336827712</v>
          </cell>
          <cell r="D16">
            <v>0</v>
          </cell>
          <cell r="E16">
            <v>2336827712</v>
          </cell>
          <cell r="F16">
            <v>1785950948</v>
          </cell>
          <cell r="G16">
            <v>842316000</v>
          </cell>
          <cell r="H16">
            <v>52000</v>
          </cell>
          <cell r="I16">
            <v>2628214948</v>
          </cell>
          <cell r="J16">
            <v>1240676111.5</v>
          </cell>
          <cell r="K16">
            <v>49688000</v>
          </cell>
          <cell r="L16">
            <v>1294090718</v>
          </cell>
        </row>
      </sheetData>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ny"/>
      <sheetName val="License Area"/>
      <sheetName val="LA-ARR-PU"/>
      <sheetName val="LA-PU"/>
      <sheetName val="LA-ARR"/>
      <sheetName val="LA-ARR-PU "/>
      <sheetName val="Co. Graphs"/>
      <sheetName val="OB Graph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설내1"/>
      <sheetName val="설품"/>
      <sheetName val="설산1"/>
      <sheetName val="설산2"/>
      <sheetName val="설산3"/>
      <sheetName val="설비SUPP산출"/>
      <sheetName val="현장지지물물량"/>
      <sheetName val="지지물집계"/>
      <sheetName val="현장집계3"/>
      <sheetName val="License Area"/>
      <sheetName val="FAC (Running FAC)"/>
    </sheetNames>
    <sheetDataSet>
      <sheetData sheetId="0" refreshError="1"/>
      <sheetData sheetId="1" refreshError="1"/>
      <sheetData sheetId="2" refreshError="1"/>
      <sheetData sheetId="3" refreshError="1"/>
      <sheetData sheetId="4" refreshError="1"/>
      <sheetData sheetId="5" refreshError="1"/>
      <sheetData sheetId="6" refreshError="1">
        <row r="9">
          <cell r="A9" t="str">
            <v>85500-001</v>
          </cell>
          <cell r="C9" t="str">
            <v>CHANNEL</v>
          </cell>
          <cell r="D9" t="str">
            <v>C S</v>
          </cell>
          <cell r="E9" t="str">
            <v>ㄷ100x50x5</v>
          </cell>
          <cell r="F9">
            <v>6100</v>
          </cell>
          <cell r="G9" t="str">
            <v>71730-150</v>
          </cell>
          <cell r="H9">
            <v>1</v>
          </cell>
          <cell r="I9" t="str">
            <v>5900/2200</v>
          </cell>
        </row>
        <row r="10">
          <cell r="A10" t="str">
            <v>85500-001</v>
          </cell>
          <cell r="C10" t="str">
            <v>ANGLE</v>
          </cell>
          <cell r="D10" t="str">
            <v>C S</v>
          </cell>
          <cell r="E10" t="str">
            <v>L50X50X6</v>
          </cell>
          <cell r="F10">
            <v>1800</v>
          </cell>
          <cell r="G10" t="str">
            <v>71730-150</v>
          </cell>
          <cell r="H10">
            <v>1</v>
          </cell>
          <cell r="I10" t="str">
            <v>5900/2200</v>
          </cell>
        </row>
        <row r="11">
          <cell r="A11" t="str">
            <v>85500-001</v>
          </cell>
          <cell r="C11" t="str">
            <v>U-BOLT</v>
          </cell>
          <cell r="D11" t="str">
            <v>C S</v>
          </cell>
          <cell r="E11" t="str">
            <v>DN150</v>
          </cell>
          <cell r="G11" t="str">
            <v>71730-150</v>
          </cell>
          <cell r="H11">
            <v>6</v>
          </cell>
          <cell r="I11" t="str">
            <v>5900/2200</v>
          </cell>
        </row>
        <row r="12">
          <cell r="A12" t="str">
            <v>85500-001</v>
          </cell>
          <cell r="C12" t="str">
            <v>ANCHOR BOLT</v>
          </cell>
          <cell r="D12" t="str">
            <v>C S</v>
          </cell>
          <cell r="E12" t="str">
            <v>M10x80L</v>
          </cell>
          <cell r="G12" t="str">
            <v>71730-150</v>
          </cell>
          <cell r="H12">
            <v>12</v>
          </cell>
          <cell r="I12" t="str">
            <v>5900/2200</v>
          </cell>
        </row>
        <row r="13">
          <cell r="A13" t="str">
            <v>85500-001</v>
          </cell>
          <cell r="C13" t="str">
            <v>STEEL PLATE</v>
          </cell>
          <cell r="D13" t="str">
            <v>C S</v>
          </cell>
          <cell r="E13" t="str">
            <v>PL150x150x9</v>
          </cell>
          <cell r="G13" t="str">
            <v>71730-150</v>
          </cell>
          <cell r="H13">
            <v>3</v>
          </cell>
          <cell r="I13" t="str">
            <v>5900/2200</v>
          </cell>
        </row>
        <row r="15">
          <cell r="A15" t="str">
            <v>85500-001</v>
          </cell>
          <cell r="C15" t="str">
            <v>CHANNEL</v>
          </cell>
          <cell r="D15" t="str">
            <v>C S</v>
          </cell>
          <cell r="E15" t="str">
            <v>ㄷ100x50x5</v>
          </cell>
          <cell r="F15">
            <v>2150</v>
          </cell>
          <cell r="G15" t="str">
            <v>71730-150</v>
          </cell>
          <cell r="H15">
            <v>5</v>
          </cell>
          <cell r="I15" t="str">
            <v>3150/2200</v>
          </cell>
        </row>
        <row r="16">
          <cell r="A16" t="str">
            <v>85500-001</v>
          </cell>
          <cell r="C16" t="str">
            <v>U-BOLT</v>
          </cell>
          <cell r="D16" t="str">
            <v>C S</v>
          </cell>
          <cell r="E16" t="str">
            <v>DN150</v>
          </cell>
          <cell r="G16" t="str">
            <v>71730-150</v>
          </cell>
          <cell r="H16">
            <v>10</v>
          </cell>
          <cell r="I16" t="str">
            <v>3150/2200</v>
          </cell>
        </row>
        <row r="17">
          <cell r="A17" t="str">
            <v>85500-001</v>
          </cell>
          <cell r="C17" t="str">
            <v>ANCHOR BOLT</v>
          </cell>
          <cell r="D17" t="str">
            <v>C S</v>
          </cell>
          <cell r="E17" t="str">
            <v>M10x80L</v>
          </cell>
          <cell r="G17" t="str">
            <v>71730-150</v>
          </cell>
          <cell r="H17">
            <v>40</v>
          </cell>
          <cell r="I17" t="str">
            <v>3150/2200</v>
          </cell>
        </row>
        <row r="18">
          <cell r="A18" t="str">
            <v>85500-001</v>
          </cell>
          <cell r="C18" t="str">
            <v>STEEL PLATE</v>
          </cell>
          <cell r="D18" t="str">
            <v>C S</v>
          </cell>
          <cell r="E18" t="str">
            <v>PL150x150x9</v>
          </cell>
          <cell r="G18" t="str">
            <v>71730-150</v>
          </cell>
          <cell r="H18">
            <v>10</v>
          </cell>
          <cell r="I18" t="str">
            <v>3150/2200</v>
          </cell>
        </row>
        <row r="20">
          <cell r="A20" t="str">
            <v>85500-001</v>
          </cell>
          <cell r="C20" t="str">
            <v>CHANNEL</v>
          </cell>
          <cell r="D20" t="str">
            <v>C S</v>
          </cell>
          <cell r="E20" t="str">
            <v>ㄷ100x50x5</v>
          </cell>
          <cell r="F20">
            <v>1900</v>
          </cell>
          <cell r="G20" t="str">
            <v>71730-150</v>
          </cell>
          <cell r="H20">
            <v>3</v>
          </cell>
          <cell r="I20" t="str">
            <v>3150/2200</v>
          </cell>
        </row>
        <row r="21">
          <cell r="A21" t="str">
            <v>85500-001</v>
          </cell>
          <cell r="C21" t="str">
            <v>U-BOLT</v>
          </cell>
          <cell r="D21" t="str">
            <v>C S</v>
          </cell>
          <cell r="E21" t="str">
            <v>DN150</v>
          </cell>
          <cell r="G21" t="str">
            <v>71730-150</v>
          </cell>
          <cell r="H21">
            <v>6</v>
          </cell>
          <cell r="I21" t="str">
            <v>3150/2200</v>
          </cell>
        </row>
        <row r="22">
          <cell r="A22" t="str">
            <v>85500-001</v>
          </cell>
          <cell r="C22" t="str">
            <v>ANCHOR BOLT</v>
          </cell>
          <cell r="D22" t="str">
            <v>C S</v>
          </cell>
          <cell r="E22" t="str">
            <v>M10x80L</v>
          </cell>
          <cell r="G22" t="str">
            <v>71730-150</v>
          </cell>
          <cell r="H22">
            <v>12</v>
          </cell>
          <cell r="I22" t="str">
            <v>3150/2200</v>
          </cell>
        </row>
        <row r="23">
          <cell r="A23" t="str">
            <v>85500-001</v>
          </cell>
          <cell r="C23" t="str">
            <v>STEEL PLATE</v>
          </cell>
          <cell r="D23" t="str">
            <v>C S</v>
          </cell>
          <cell r="E23" t="str">
            <v>PL150x150x9</v>
          </cell>
          <cell r="G23" t="str">
            <v>71730-150</v>
          </cell>
          <cell r="H23">
            <v>3</v>
          </cell>
          <cell r="I23" t="str">
            <v>3150/2200</v>
          </cell>
        </row>
      </sheetData>
      <sheetData sheetId="7" refreshError="1"/>
      <sheetData sheetId="8" refreshError="1"/>
      <sheetData sheetId="9" refreshError="1"/>
      <sheetData sheetId="10"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
      <sheetName val="Schedule 1"/>
      <sheetName val="BEST final"/>
      <sheetName val="BEST"/>
      <sheetName val="Sheet1"/>
      <sheetName val="P&amp;L Reconciliation"/>
      <sheetName val=" Bank"/>
      <sheetName val="Notes"/>
      <sheetName val="Stores"/>
      <sheetName val="schedule 3"/>
    </sheetNames>
    <sheetDataSet>
      <sheetData sheetId="0" refreshError="1"/>
      <sheetData sheetId="1">
        <row r="28">
          <cell r="D28">
            <v>392.07000000000005</v>
          </cell>
        </row>
      </sheetData>
      <sheetData sheetId="2">
        <row r="409">
          <cell r="D409">
            <v>0</v>
          </cell>
        </row>
      </sheetData>
      <sheetData sheetId="3" refreshError="1"/>
      <sheetData sheetId="4"/>
      <sheetData sheetId="5">
        <row r="38">
          <cell r="D38">
            <v>573622213.00999928</v>
          </cell>
        </row>
      </sheetData>
      <sheetData sheetId="6" refreshError="1"/>
      <sheetData sheetId="7" refreshError="1"/>
      <sheetData sheetId="8" refreshError="1"/>
      <sheetData sheetId="9">
        <row r="28">
          <cell r="D28">
            <v>392.07000000000005</v>
          </cell>
        </row>
      </sheetData>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LY -99-00"/>
      <sheetName val="Hydro Data"/>
      <sheetName val="HLY0001"/>
      <sheetName val="SUMMERY"/>
      <sheetName val="mnthly-chrt"/>
      <sheetName val="purchase"/>
      <sheetName val="dpc cost"/>
      <sheetName val="Plant Availability"/>
      <sheetName val="MOD-PROJ"/>
      <sheetName val="Apr-99"/>
      <sheetName val="May-99"/>
      <sheetName val="Jun-99"/>
      <sheetName val="July-99"/>
      <sheetName val="Aug-99"/>
      <sheetName val="Sept-99"/>
      <sheetName val="Oct-99"/>
      <sheetName val="Nov-99"/>
      <sheetName val="Dec-99"/>
      <sheetName val="Jan-00"/>
      <sheetName val="Feb-00"/>
      <sheetName val="Mar-00"/>
      <sheetName val="A 3.7"/>
      <sheetName val="HLY_-99-00"/>
      <sheetName val="Hydro_Data"/>
      <sheetName val="dpc_cost"/>
      <sheetName val="Plant_Availability"/>
    </sheetNames>
    <sheetDataSet>
      <sheetData sheetId="0" refreshError="1"/>
      <sheetData sheetId="1" refreshError="1"/>
      <sheetData sheetId="2" refreshError="1"/>
      <sheetData sheetId="3" refreshError="1">
        <row r="1">
          <cell r="P1">
            <v>0.72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BDVMPL"/>
      <sheetName val="표지 및 목차"/>
      <sheetName val="목표분석및개선책입안서"/>
      <sheetName val="목표할당표"/>
      <sheetName val="과제분석표 챠트 DATA"/>
      <sheetName val="HIRGIGO매출"/>
      <sheetName val="HIRGIGO매출원가"/>
      <sheetName val="HIRGIGO 기성"/>
      <sheetName val="과제분석서_원가절감"/>
      <sheetName val="품질손실비용"/>
      <sheetName val="시책도출매트릭스"/>
      <sheetName val="부장map card"/>
      <sheetName val="상하MAP조정표"/>
      <sheetName val="관리항목일람표"/>
      <sheetName val="목표종합전개표"/>
      <sheetName val="시책전개표(1)"/>
      <sheetName val="년도map실시계획서(B4)"/>
      <sheetName val="년도map실시계획서(A4)"/>
      <sheetName val="월map실시계획서(B4)"/>
      <sheetName val="월map실시계획서(A4)"/>
      <sheetName val="map실적관리표"/>
      <sheetName val="월map실적보고서"/>
      <sheetName val="중점실천계획총괄표"/>
      <sheetName val="중점실천계획(원가절감)"/>
      <sheetName val="중점실천계획(기타)"/>
      <sheetName val="중점실천계획진도보고서"/>
      <sheetName val="pjt 별map계획서"/>
      <sheetName val="산업담당 A"/>
      <sheetName val="발전담당 B"/>
      <sheetName val="A+B"/>
      <sheetName val="수금종합1"/>
      <sheetName val="PJT매출계획"/>
      <sheetName val="PJT기성계획"/>
      <sheetName val="부서별 원가절감 계획"/>
      <sheetName val="매출2안"/>
      <sheetName val="기성2안"/>
      <sheetName val="map전매출"/>
      <sheetName val="표지_및_목차"/>
      <sheetName val="과제분석표_챠트_DATA"/>
      <sheetName val="HIRGIGO_기성"/>
      <sheetName val="부장map_card"/>
      <sheetName val="pjt_별map계획서"/>
      <sheetName val="산업담당_A"/>
      <sheetName val="발전담당_B"/>
      <sheetName val="부서별_원가절감_계획"/>
      <sheetName val="Financial_Estimates"/>
      <sheetName val="pricesp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1"/>
      <sheetName val="BEST_17102006"/>
      <sheetName val="Cash at Bank"/>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FY05"/>
      <sheetName val="CB_FY06"/>
      <sheetName val="RR_FY05"/>
      <sheetName val="RR_FY06"/>
      <sheetName val="ROE"/>
      <sheetName val="tax_fy06"/>
      <sheetName val="ins spares"/>
      <sheetName val="VRS"/>
      <sheetName val="Allo_Basis_FY06"/>
      <sheetName val="Allo_Basis_FY05"/>
      <sheetName val="Stat_inv"/>
      <sheetName val="Base Data"/>
      <sheetName val="Inputs_CB_06"/>
      <sheetName val="Input_GFA"/>
      <sheetName val="tax_fy06_old"/>
      <sheetName val="ins_spares"/>
      <sheetName val="Base_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s>
    <sheetDataSet>
      <sheetData sheetId="0" refreshError="1">
        <row r="1">
          <cell r="B1" t="str">
            <v>SUPPORT No.</v>
          </cell>
          <cell r="C1" t="str">
            <v>No.</v>
          </cell>
        </row>
        <row r="2">
          <cell r="B2" t="str">
            <v>CSH-5102-03</v>
          </cell>
          <cell r="C2" t="str">
            <v>001</v>
          </cell>
        </row>
        <row r="3">
          <cell r="B3" t="str">
            <v>CSH-5102-08</v>
          </cell>
          <cell r="C3" t="str">
            <v>002</v>
          </cell>
        </row>
        <row r="4">
          <cell r="B4" t="str">
            <v>CSH-5102-09</v>
          </cell>
          <cell r="C4" t="str">
            <v>003</v>
          </cell>
        </row>
        <row r="5">
          <cell r="B5" t="str">
            <v>CSH-5102-10</v>
          </cell>
          <cell r="C5" t="str">
            <v>004</v>
          </cell>
        </row>
        <row r="6">
          <cell r="B6" t="str">
            <v>CSH-5104-01</v>
          </cell>
          <cell r="C6" t="str">
            <v>005</v>
          </cell>
        </row>
        <row r="7">
          <cell r="B7" t="str">
            <v>CSH-5104-02</v>
          </cell>
          <cell r="C7" t="str">
            <v>006</v>
          </cell>
        </row>
        <row r="8">
          <cell r="B8" t="str">
            <v>CSH-5104-03</v>
          </cell>
          <cell r="C8" t="str">
            <v>007</v>
          </cell>
        </row>
        <row r="9">
          <cell r="B9" t="str">
            <v>CSH-5104-05</v>
          </cell>
          <cell r="C9" t="str">
            <v>008</v>
          </cell>
        </row>
        <row r="10">
          <cell r="B10" t="str">
            <v>CSH-5104-06</v>
          </cell>
          <cell r="C10" t="str">
            <v>009</v>
          </cell>
        </row>
        <row r="11">
          <cell r="B11" t="str">
            <v>CSH-5104-07</v>
          </cell>
          <cell r="C11" t="str">
            <v>010</v>
          </cell>
        </row>
        <row r="12">
          <cell r="B12" t="str">
            <v>CSH-5104-08</v>
          </cell>
          <cell r="C12" t="str">
            <v>011</v>
          </cell>
        </row>
        <row r="13">
          <cell r="B13" t="str">
            <v>CSH-5105-01</v>
          </cell>
          <cell r="C13" t="str">
            <v>012</v>
          </cell>
        </row>
        <row r="14">
          <cell r="B14" t="str">
            <v>CSH-5105-02</v>
          </cell>
          <cell r="C14" t="str">
            <v>013</v>
          </cell>
        </row>
        <row r="15">
          <cell r="B15" t="str">
            <v>CSH-5110-01</v>
          </cell>
          <cell r="C15" t="str">
            <v>014</v>
          </cell>
        </row>
        <row r="16">
          <cell r="B16" t="str">
            <v>CSH-5110-02</v>
          </cell>
          <cell r="C16" t="str">
            <v>015</v>
          </cell>
        </row>
        <row r="17">
          <cell r="B17" t="str">
            <v>CSH-5110-03</v>
          </cell>
          <cell r="C17" t="str">
            <v>016</v>
          </cell>
        </row>
        <row r="18">
          <cell r="B18" t="str">
            <v>CSH-5110-04</v>
          </cell>
          <cell r="C18" t="str">
            <v>017</v>
          </cell>
        </row>
        <row r="19">
          <cell r="B19" t="str">
            <v>CSH-5110-05</v>
          </cell>
          <cell r="C19" t="str">
            <v>018</v>
          </cell>
        </row>
        <row r="20">
          <cell r="B20" t="str">
            <v>CSH-5110-06</v>
          </cell>
          <cell r="C20" t="str">
            <v>019</v>
          </cell>
        </row>
        <row r="21">
          <cell r="B21" t="str">
            <v>CSH-5110-07</v>
          </cell>
          <cell r="C21" t="str">
            <v>020</v>
          </cell>
        </row>
        <row r="22">
          <cell r="B22" t="str">
            <v>CSH-5110-08</v>
          </cell>
          <cell r="C22" t="str">
            <v>021</v>
          </cell>
        </row>
        <row r="23">
          <cell r="B23" t="str">
            <v>CSH-5110-09</v>
          </cell>
          <cell r="C23" t="str">
            <v>022</v>
          </cell>
        </row>
        <row r="24">
          <cell r="B24" t="str">
            <v>CSH-5110-10</v>
          </cell>
          <cell r="C24" t="str">
            <v>023</v>
          </cell>
        </row>
        <row r="25">
          <cell r="B25" t="str">
            <v>CSH-5110-11</v>
          </cell>
          <cell r="C25" t="str">
            <v>024</v>
          </cell>
        </row>
        <row r="26">
          <cell r="B26" t="str">
            <v>CSH-5110-12</v>
          </cell>
          <cell r="C26" t="str">
            <v>025</v>
          </cell>
        </row>
        <row r="27">
          <cell r="B27" t="str">
            <v>CSH-5110-13</v>
          </cell>
          <cell r="C27" t="str">
            <v>026</v>
          </cell>
        </row>
        <row r="28">
          <cell r="B28" t="str">
            <v>CSH-5110-14</v>
          </cell>
          <cell r="C28" t="str">
            <v>027</v>
          </cell>
        </row>
        <row r="29">
          <cell r="B29" t="str">
            <v>CSH-5110-15</v>
          </cell>
          <cell r="C29" t="str">
            <v>028</v>
          </cell>
        </row>
        <row r="30">
          <cell r="B30" t="str">
            <v>CSH-5110-16</v>
          </cell>
          <cell r="C30" t="str">
            <v>029</v>
          </cell>
        </row>
        <row r="31">
          <cell r="B31" t="str">
            <v>CSH-5110-17</v>
          </cell>
          <cell r="C31" t="str">
            <v>030</v>
          </cell>
        </row>
        <row r="32">
          <cell r="B32" t="str">
            <v>CSH-5110-18</v>
          </cell>
          <cell r="C32" t="str">
            <v>031</v>
          </cell>
        </row>
        <row r="33">
          <cell r="B33" t="str">
            <v>CSH-5110-19</v>
          </cell>
          <cell r="C33" t="str">
            <v>032</v>
          </cell>
        </row>
        <row r="34">
          <cell r="B34" t="str">
            <v>CSH-5110-20</v>
          </cell>
          <cell r="C34" t="str">
            <v>033</v>
          </cell>
        </row>
        <row r="35">
          <cell r="B35" t="str">
            <v>CSH-5110-21</v>
          </cell>
          <cell r="C35" t="str">
            <v>034</v>
          </cell>
        </row>
        <row r="36">
          <cell r="B36" t="str">
            <v>CSH-5110-22</v>
          </cell>
          <cell r="C36" t="str">
            <v>035</v>
          </cell>
        </row>
        <row r="37">
          <cell r="B37" t="str">
            <v>CSH-5110-23</v>
          </cell>
          <cell r="C37" t="str">
            <v>036</v>
          </cell>
        </row>
        <row r="38">
          <cell r="B38" t="str">
            <v>CSH-5111-01</v>
          </cell>
          <cell r="C38" t="str">
            <v>037</v>
          </cell>
        </row>
        <row r="39">
          <cell r="B39" t="str">
            <v>CSH-5111-02</v>
          </cell>
          <cell r="C39" t="str">
            <v>038</v>
          </cell>
        </row>
        <row r="40">
          <cell r="B40" t="str">
            <v>CSH-5111-03</v>
          </cell>
          <cell r="C40" t="str">
            <v>039</v>
          </cell>
        </row>
        <row r="41">
          <cell r="B41" t="str">
            <v>CSH-5111-04</v>
          </cell>
          <cell r="C41" t="str">
            <v>040</v>
          </cell>
        </row>
        <row r="42">
          <cell r="B42" t="str">
            <v>CSH-5111-05</v>
          </cell>
          <cell r="C42" t="str">
            <v>041</v>
          </cell>
        </row>
        <row r="43">
          <cell r="B43" t="str">
            <v>CSH-5111-06</v>
          </cell>
          <cell r="C43" t="str">
            <v>042</v>
          </cell>
        </row>
        <row r="44">
          <cell r="B44" t="str">
            <v>CSH-5111-07</v>
          </cell>
          <cell r="C44" t="str">
            <v>043</v>
          </cell>
        </row>
        <row r="45">
          <cell r="B45" t="str">
            <v>CSH-5111-08</v>
          </cell>
          <cell r="C45" t="str">
            <v>044</v>
          </cell>
        </row>
        <row r="46">
          <cell r="B46" t="str">
            <v>CSH-5112-01</v>
          </cell>
          <cell r="C46" t="str">
            <v>045</v>
          </cell>
        </row>
        <row r="47">
          <cell r="B47" t="str">
            <v>CSH-5112-02</v>
          </cell>
          <cell r="C47" t="str">
            <v>046</v>
          </cell>
        </row>
        <row r="48">
          <cell r="B48" t="str">
            <v>CSH-5112-03</v>
          </cell>
          <cell r="C48" t="str">
            <v>047</v>
          </cell>
        </row>
        <row r="49">
          <cell r="B49" t="str">
            <v>CSH-5127-01</v>
          </cell>
          <cell r="C49" t="str">
            <v>048</v>
          </cell>
        </row>
        <row r="50">
          <cell r="B50" t="str">
            <v>CSH-5135-01</v>
          </cell>
          <cell r="C50" t="str">
            <v>049</v>
          </cell>
        </row>
        <row r="51">
          <cell r="B51" t="str">
            <v>VSH-5102-25</v>
          </cell>
          <cell r="C51" t="str">
            <v>050</v>
          </cell>
        </row>
        <row r="52">
          <cell r="B52" t="str">
            <v>VSH-5102-39</v>
          </cell>
          <cell r="C52" t="str">
            <v>051</v>
          </cell>
        </row>
        <row r="53">
          <cell r="B53" t="str">
            <v>VSH-5103-01</v>
          </cell>
          <cell r="C53" t="str">
            <v>052</v>
          </cell>
        </row>
        <row r="54">
          <cell r="B54" t="str">
            <v>VSH-5103-02</v>
          </cell>
          <cell r="C54" t="str">
            <v>053</v>
          </cell>
        </row>
        <row r="55">
          <cell r="B55" t="str">
            <v>VSH-5103-03</v>
          </cell>
          <cell r="C55" t="str">
            <v>054</v>
          </cell>
        </row>
        <row r="56">
          <cell r="B56" t="str">
            <v>VSH-5103-04</v>
          </cell>
          <cell r="C56" t="str">
            <v>055</v>
          </cell>
        </row>
        <row r="57">
          <cell r="B57" t="str">
            <v>VSH-5103-05</v>
          </cell>
          <cell r="C57" t="str">
            <v>056</v>
          </cell>
        </row>
        <row r="58">
          <cell r="B58" t="str">
            <v>VSH-5103-06</v>
          </cell>
          <cell r="C58" t="str">
            <v>057</v>
          </cell>
        </row>
        <row r="59">
          <cell r="B59" t="str">
            <v>VSH-5103-07</v>
          </cell>
          <cell r="C59" t="str">
            <v>058</v>
          </cell>
        </row>
        <row r="60">
          <cell r="B60" t="str">
            <v>VSH-5103-08</v>
          </cell>
          <cell r="C60" t="str">
            <v>059</v>
          </cell>
        </row>
        <row r="61">
          <cell r="B61" t="str">
            <v>VSH-5103-09</v>
          </cell>
          <cell r="C61" t="str">
            <v>060</v>
          </cell>
        </row>
        <row r="62">
          <cell r="B62" t="str">
            <v>VSH-5103-10</v>
          </cell>
          <cell r="C62" t="str">
            <v>061</v>
          </cell>
        </row>
        <row r="63">
          <cell r="B63" t="str">
            <v>VSH-5103-11</v>
          </cell>
          <cell r="C63" t="str">
            <v>062</v>
          </cell>
        </row>
        <row r="64">
          <cell r="B64" t="str">
            <v>VSH-5104-01</v>
          </cell>
          <cell r="C64" t="str">
            <v>063</v>
          </cell>
        </row>
        <row r="65">
          <cell r="B65" t="str">
            <v>VSH-5104-02</v>
          </cell>
          <cell r="C65" t="str">
            <v>064</v>
          </cell>
        </row>
        <row r="66">
          <cell r="B66" t="str">
            <v>VSH-5104-03</v>
          </cell>
          <cell r="C66" t="str">
            <v>065</v>
          </cell>
        </row>
        <row r="67">
          <cell r="B67" t="str">
            <v>VSH-5104-04</v>
          </cell>
          <cell r="C67" t="str">
            <v>066</v>
          </cell>
        </row>
        <row r="68">
          <cell r="B68" t="str">
            <v>VSH-5104-05</v>
          </cell>
          <cell r="C68" t="str">
            <v>067</v>
          </cell>
        </row>
        <row r="69">
          <cell r="B69" t="str">
            <v>VSH-5104-06</v>
          </cell>
          <cell r="C69" t="str">
            <v>068</v>
          </cell>
        </row>
        <row r="70">
          <cell r="B70" t="str">
            <v>VSH-5104-07</v>
          </cell>
          <cell r="C70" t="str">
            <v>069</v>
          </cell>
        </row>
        <row r="71">
          <cell r="B71" t="str">
            <v>VSH-5105-01</v>
          </cell>
          <cell r="C71" t="str">
            <v>070</v>
          </cell>
        </row>
        <row r="72">
          <cell r="B72" t="str">
            <v>VSH-5106-01</v>
          </cell>
          <cell r="C72" t="str">
            <v>071</v>
          </cell>
        </row>
        <row r="73">
          <cell r="B73" t="str">
            <v>VSH-5106-02</v>
          </cell>
          <cell r="C73" t="str">
            <v>072</v>
          </cell>
        </row>
        <row r="74">
          <cell r="B74" t="str">
            <v>VSH-5106-03</v>
          </cell>
          <cell r="C74" t="str">
            <v>073</v>
          </cell>
        </row>
        <row r="75">
          <cell r="B75" t="str">
            <v>VSH-5106-04</v>
          </cell>
          <cell r="C75" t="str">
            <v>074</v>
          </cell>
        </row>
        <row r="76">
          <cell r="B76" t="str">
            <v>VSH-5106-05</v>
          </cell>
          <cell r="C76" t="str">
            <v>075</v>
          </cell>
        </row>
        <row r="77">
          <cell r="B77" t="str">
            <v>VSH-5106-06</v>
          </cell>
          <cell r="C77" t="str">
            <v>076</v>
          </cell>
        </row>
        <row r="78">
          <cell r="B78" t="str">
            <v>VSH-5106-09</v>
          </cell>
          <cell r="C78" t="str">
            <v>077</v>
          </cell>
        </row>
        <row r="79">
          <cell r="B79" t="str">
            <v>VSH-5107-01</v>
          </cell>
          <cell r="C79" t="str">
            <v>078</v>
          </cell>
        </row>
        <row r="80">
          <cell r="B80" t="str">
            <v>VSH-5107-02</v>
          </cell>
          <cell r="C80" t="str">
            <v>079</v>
          </cell>
        </row>
        <row r="81">
          <cell r="B81" t="str">
            <v>VSH-5107-03</v>
          </cell>
          <cell r="C81" t="str">
            <v>080</v>
          </cell>
        </row>
        <row r="82">
          <cell r="B82" t="str">
            <v>VSH-5107-04</v>
          </cell>
          <cell r="C82" t="str">
            <v>081</v>
          </cell>
        </row>
        <row r="83">
          <cell r="B83" t="str">
            <v>VSH-5107-05</v>
          </cell>
          <cell r="C83" t="str">
            <v>082</v>
          </cell>
        </row>
        <row r="84">
          <cell r="B84" t="str">
            <v>VSH-5108-01</v>
          </cell>
          <cell r="C84" t="str">
            <v>083</v>
          </cell>
        </row>
        <row r="85">
          <cell r="B85" t="str">
            <v>VSH-5110-01</v>
          </cell>
          <cell r="C85" t="str">
            <v>084</v>
          </cell>
        </row>
        <row r="86">
          <cell r="B86" t="str">
            <v>VSH-5110-02</v>
          </cell>
          <cell r="C86" t="str">
            <v>085</v>
          </cell>
        </row>
        <row r="87">
          <cell r="B87" t="str">
            <v>VSH-5111-01</v>
          </cell>
          <cell r="C87" t="str">
            <v>086</v>
          </cell>
        </row>
        <row r="88">
          <cell r="B88" t="str">
            <v>VSH-5111-02</v>
          </cell>
          <cell r="C88" t="str">
            <v>087</v>
          </cell>
        </row>
        <row r="89">
          <cell r="B89" t="str">
            <v>VSH-5111-03</v>
          </cell>
          <cell r="C89" t="str">
            <v>088</v>
          </cell>
        </row>
        <row r="90">
          <cell r="B90" t="str">
            <v>VSH-5111-04A</v>
          </cell>
          <cell r="C90" t="str">
            <v>089</v>
          </cell>
        </row>
        <row r="91">
          <cell r="B91" t="str">
            <v>VSH-5111-04B</v>
          </cell>
          <cell r="C91" t="str">
            <v>090</v>
          </cell>
        </row>
        <row r="92">
          <cell r="B92" t="str">
            <v>VSH-5111-05</v>
          </cell>
          <cell r="C92" t="str">
            <v>091</v>
          </cell>
        </row>
        <row r="93">
          <cell r="B93" t="str">
            <v>VSH-5112-01</v>
          </cell>
          <cell r="C93" t="str">
            <v>092</v>
          </cell>
        </row>
        <row r="94">
          <cell r="B94" t="str">
            <v>VSH-5112-02</v>
          </cell>
          <cell r="C94" t="str">
            <v>093</v>
          </cell>
        </row>
        <row r="95">
          <cell r="B95" t="str">
            <v>VSH-5112-03</v>
          </cell>
          <cell r="C95" t="str">
            <v>094</v>
          </cell>
        </row>
        <row r="96">
          <cell r="B96" t="str">
            <v>VSH-5112-04</v>
          </cell>
          <cell r="C96" t="str">
            <v>095</v>
          </cell>
        </row>
        <row r="97">
          <cell r="B97" t="str">
            <v>VSH-5112-05</v>
          </cell>
          <cell r="C97" t="str">
            <v>096</v>
          </cell>
        </row>
        <row r="98">
          <cell r="B98" t="str">
            <v>VSH-5112-06</v>
          </cell>
          <cell r="C98" t="str">
            <v>097</v>
          </cell>
        </row>
        <row r="99">
          <cell r="B99" t="str">
            <v>VSH-5112-07</v>
          </cell>
          <cell r="C99" t="str">
            <v>098</v>
          </cell>
        </row>
        <row r="100">
          <cell r="B100" t="str">
            <v>VSH-5112-08</v>
          </cell>
          <cell r="C100" t="str">
            <v>099</v>
          </cell>
        </row>
        <row r="101">
          <cell r="B101" t="str">
            <v>VSH-5112-09</v>
          </cell>
          <cell r="C101" t="str">
            <v>100</v>
          </cell>
        </row>
        <row r="102">
          <cell r="B102" t="str">
            <v>VSH-5113-02</v>
          </cell>
          <cell r="C102" t="str">
            <v>101</v>
          </cell>
        </row>
        <row r="103">
          <cell r="B103" t="str">
            <v>VSH-5113-03</v>
          </cell>
          <cell r="C103" t="str">
            <v>102</v>
          </cell>
        </row>
        <row r="104">
          <cell r="B104" t="str">
            <v>VSH-5113-04</v>
          </cell>
          <cell r="C104" t="str">
            <v>103</v>
          </cell>
        </row>
        <row r="105">
          <cell r="B105" t="str">
            <v>VSH-5113-05</v>
          </cell>
          <cell r="C105" t="str">
            <v>104</v>
          </cell>
        </row>
        <row r="106">
          <cell r="B106" t="str">
            <v>VSH-5113-06</v>
          </cell>
          <cell r="C106" t="str">
            <v>105</v>
          </cell>
        </row>
        <row r="107">
          <cell r="B107" t="str">
            <v>VSH-5113-07</v>
          </cell>
          <cell r="C107" t="str">
            <v>106</v>
          </cell>
        </row>
        <row r="108">
          <cell r="B108" t="str">
            <v>VSH-5113-08</v>
          </cell>
          <cell r="C108" t="str">
            <v>107</v>
          </cell>
        </row>
        <row r="109">
          <cell r="B109" t="str">
            <v>VSH-5113-09</v>
          </cell>
          <cell r="C109" t="str">
            <v>108</v>
          </cell>
        </row>
        <row r="110">
          <cell r="B110" t="str">
            <v>VSH-5113-10</v>
          </cell>
          <cell r="C110" t="str">
            <v>109</v>
          </cell>
        </row>
        <row r="111">
          <cell r="B111" t="str">
            <v>VSH-5113-11</v>
          </cell>
          <cell r="C111" t="str">
            <v>110</v>
          </cell>
        </row>
        <row r="112">
          <cell r="B112" t="str">
            <v>VSH-5132-01</v>
          </cell>
          <cell r="C112" t="str">
            <v>111</v>
          </cell>
        </row>
        <row r="113">
          <cell r="B113" t="str">
            <v>VSH-5132-02</v>
          </cell>
          <cell r="C113" t="str">
            <v>112</v>
          </cell>
        </row>
        <row r="114">
          <cell r="B114" t="str">
            <v>VSH-5135-06</v>
          </cell>
          <cell r="C114" t="str">
            <v>113</v>
          </cell>
        </row>
        <row r="115">
          <cell r="B115" t="str">
            <v>VSH-5101-35</v>
          </cell>
          <cell r="C115" t="str">
            <v>114</v>
          </cell>
        </row>
        <row r="116">
          <cell r="B116" t="str">
            <v>VSH-5101-36</v>
          </cell>
          <cell r="C116" t="str">
            <v>115</v>
          </cell>
        </row>
        <row r="117">
          <cell r="B117" t="str">
            <v>VSH-5102-03</v>
          </cell>
          <cell r="C117" t="str">
            <v>116</v>
          </cell>
        </row>
        <row r="118">
          <cell r="B118" t="str">
            <v>VSH-5102-04</v>
          </cell>
          <cell r="C118" t="str">
            <v>117</v>
          </cell>
        </row>
        <row r="119">
          <cell r="B119" t="str">
            <v>VSH-5102-05</v>
          </cell>
          <cell r="C119" t="str">
            <v>118</v>
          </cell>
        </row>
        <row r="120">
          <cell r="B120" t="str">
            <v>VSH-5102-06</v>
          </cell>
          <cell r="C120" t="str">
            <v>119</v>
          </cell>
        </row>
        <row r="121">
          <cell r="B121" t="str">
            <v>VSH-5102-07</v>
          </cell>
          <cell r="C121" t="str">
            <v>120</v>
          </cell>
        </row>
        <row r="122">
          <cell r="B122" t="str">
            <v>VSH-5102-08</v>
          </cell>
          <cell r="C122" t="str">
            <v>121</v>
          </cell>
        </row>
      </sheetData>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ata FY05"/>
      <sheetName val="Base Data AOP FY06"/>
      <sheetName val="Apr 05"/>
      <sheetName val="May 05"/>
      <sheetName val="Jun 05 unaudited"/>
      <sheetName val="June 05"/>
      <sheetName val="July 05"/>
      <sheetName val="Aug 05"/>
      <sheetName val="Sep 05"/>
      <sheetName val="Oct 05"/>
      <sheetName val="Nov 05"/>
      <sheetName val="Sheet1"/>
      <sheetName val="Base Data Actuals"/>
      <sheetName val="MIS (old) "/>
      <sheetName val="Supply"/>
      <sheetName val="S Q1"/>
      <sheetName val="S July 05"/>
      <sheetName val="S Aug 05"/>
      <sheetName val="S Act H1"/>
      <sheetName val="S Oct 05"/>
      <sheetName val="S Nov 05"/>
      <sheetName val="Sheet2"/>
      <sheetName val="Division wise (Aug)"/>
      <sheetName val="Division wise (H1)"/>
      <sheetName val="Analysis"/>
      <sheetName val="not used"/>
      <sheetName val="DETAIL SHEET"/>
    </sheetNames>
    <sheetDataSet>
      <sheetData sheetId="0" refreshError="1"/>
      <sheetData sheetId="1" refreshError="1"/>
      <sheetData sheetId="2" refreshError="1"/>
      <sheetData sheetId="3" refreshError="1">
        <row r="1">
          <cell r="A1" t="str">
            <v>BA</v>
          </cell>
        </row>
        <row r="2">
          <cell r="A2" t="str">
            <v>B100</v>
          </cell>
          <cell r="B2">
            <v>3100180100</v>
          </cell>
          <cell r="C2" t="str">
            <v>REV PS-EN CH-CHT</v>
          </cell>
          <cell r="D2">
            <v>-12101123</v>
          </cell>
        </row>
        <row r="3">
          <cell r="A3" t="str">
            <v>B100</v>
          </cell>
          <cell r="B3">
            <v>3100180101</v>
          </cell>
          <cell r="C3" t="str">
            <v>REV PS-RES -01</v>
          </cell>
          <cell r="D3">
            <v>-37777030.520000003</v>
          </cell>
        </row>
        <row r="4">
          <cell r="A4" t="str">
            <v>B100</v>
          </cell>
          <cell r="B4">
            <v>3100180102</v>
          </cell>
          <cell r="C4" t="str">
            <v>REV PS-HT2-Comm -02</v>
          </cell>
          <cell r="D4">
            <v>-70513425.480000004</v>
          </cell>
        </row>
        <row r="5">
          <cell r="A5" t="str">
            <v>B100</v>
          </cell>
          <cell r="B5">
            <v>3100180104</v>
          </cell>
          <cell r="C5" t="str">
            <v>REV PS-HT2-IND-04</v>
          </cell>
          <cell r="D5">
            <v>-469863705.63999999</v>
          </cell>
        </row>
        <row r="6">
          <cell r="A6" t="str">
            <v>B100</v>
          </cell>
          <cell r="B6">
            <v>3100180106</v>
          </cell>
          <cell r="C6" t="str">
            <v>REV PS - Rly -06</v>
          </cell>
          <cell r="D6">
            <v>-453261289.80000001</v>
          </cell>
        </row>
        <row r="7">
          <cell r="A7" t="str">
            <v>B100</v>
          </cell>
          <cell r="B7">
            <v>3100180107</v>
          </cell>
          <cell r="C7" t="str">
            <v>REV PS - MSEB - 07</v>
          </cell>
          <cell r="D7">
            <v>-252757946</v>
          </cell>
        </row>
        <row r="8">
          <cell r="A8" t="str">
            <v>B100</v>
          </cell>
          <cell r="B8">
            <v>3100180108</v>
          </cell>
          <cell r="C8" t="str">
            <v>REV PS-Textiles-08</v>
          </cell>
          <cell r="D8">
            <v>-179467964.38</v>
          </cell>
        </row>
        <row r="9">
          <cell r="A9" t="str">
            <v>B100</v>
          </cell>
          <cell r="B9">
            <v>3100180109</v>
          </cell>
          <cell r="C9" t="str">
            <v>REV PS-LT1 IND -09</v>
          </cell>
          <cell r="D9">
            <v>-34113635.350000001</v>
          </cell>
        </row>
        <row r="10">
          <cell r="A10" t="str">
            <v>B100</v>
          </cell>
          <cell r="B10">
            <v>3100180110</v>
          </cell>
          <cell r="C10" t="str">
            <v>REV PS-LT1-Comm -10</v>
          </cell>
          <cell r="D10">
            <v>-60173435.539999999</v>
          </cell>
        </row>
        <row r="11">
          <cell r="A11" t="str">
            <v>B100</v>
          </cell>
          <cell r="B11">
            <v>3100180111</v>
          </cell>
          <cell r="C11" t="str">
            <v>REV PS-LT2-IND-11</v>
          </cell>
          <cell r="D11">
            <v>-34652703.350000001</v>
          </cell>
        </row>
        <row r="12">
          <cell r="A12" t="str">
            <v>B100</v>
          </cell>
          <cell r="B12">
            <v>3100180112</v>
          </cell>
          <cell r="C12" t="str">
            <v>REV PS-LT2-Comm -12</v>
          </cell>
          <cell r="D12">
            <v>-153720501.16</v>
          </cell>
        </row>
        <row r="13">
          <cell r="A13" t="str">
            <v>B100</v>
          </cell>
          <cell r="B13">
            <v>3100180120</v>
          </cell>
          <cell r="C13" t="str">
            <v>REV POWER SUP-BEST</v>
          </cell>
          <cell r="D13">
            <v>-1888995870.0999999</v>
          </cell>
        </row>
        <row r="14">
          <cell r="A14" t="str">
            <v>B100</v>
          </cell>
          <cell r="B14">
            <v>3100180130</v>
          </cell>
          <cell r="C14" t="str">
            <v>REV POWER SUP-BSES</v>
          </cell>
          <cell r="D14">
            <v>-1804088770.55</v>
          </cell>
        </row>
        <row r="15">
          <cell r="A15" t="str">
            <v>B100</v>
          </cell>
          <cell r="B15">
            <v>3100180200</v>
          </cell>
          <cell r="C15" t="str">
            <v>CASH DISCOUNT</v>
          </cell>
          <cell r="D15">
            <v>36185225.899999999</v>
          </cell>
        </row>
        <row r="16">
          <cell r="A16" t="str">
            <v>B100</v>
          </cell>
          <cell r="B16">
            <v>3100181600</v>
          </cell>
          <cell r="C16" t="str">
            <v>FUEL ADJ CHG RECOVER</v>
          </cell>
          <cell r="D16">
            <v>-24426.560000000001</v>
          </cell>
        </row>
        <row r="17">
          <cell r="A17" t="str">
            <v>B100</v>
          </cell>
          <cell r="B17">
            <v>3100181610</v>
          </cell>
          <cell r="C17" t="str">
            <v>FUEL ADJ CHG-EXCESS/</v>
          </cell>
          <cell r="D17">
            <v>-220500000</v>
          </cell>
        </row>
        <row r="18">
          <cell r="A18" t="str">
            <v>B100</v>
          </cell>
          <cell r="B18">
            <v>3100181620</v>
          </cell>
          <cell r="C18" t="str">
            <v>FAC - MSEB</v>
          </cell>
          <cell r="D18">
            <v>-221304518</v>
          </cell>
        </row>
        <row r="19">
          <cell r="A19" t="str">
            <v>B100</v>
          </cell>
          <cell r="B19">
            <v>3100183300</v>
          </cell>
          <cell r="C19" t="str">
            <v>WHEELING CHG RECOVER</v>
          </cell>
          <cell r="D19">
            <v>-39061723</v>
          </cell>
        </row>
        <row r="20">
          <cell r="A20" t="str">
            <v>B100</v>
          </cell>
          <cell r="B20">
            <v>3100183310</v>
          </cell>
          <cell r="C20" t="str">
            <v>FACWHEELCHARREC'BLE</v>
          </cell>
          <cell r="D20">
            <v>-1579101</v>
          </cell>
        </row>
        <row r="21">
          <cell r="A21" t="str">
            <v>B100</v>
          </cell>
          <cell r="B21">
            <v>3100380700</v>
          </cell>
          <cell r="C21" t="str">
            <v>RT BUILDING- STAFF</v>
          </cell>
          <cell r="D21">
            <v>-1000</v>
          </cell>
        </row>
        <row r="22">
          <cell r="A22" t="str">
            <v>B100</v>
          </cell>
          <cell r="B22">
            <v>3100481200</v>
          </cell>
          <cell r="C22" t="str">
            <v>INT - LN &amp; ADV-STAFF</v>
          </cell>
          <cell r="D22">
            <v>-15538.02</v>
          </cell>
        </row>
        <row r="23">
          <cell r="A23" t="str">
            <v>B100</v>
          </cell>
          <cell r="B23">
            <v>3100481310</v>
          </cell>
          <cell r="C23" t="str">
            <v>INT - DP RE: EPS</v>
          </cell>
          <cell r="D23">
            <v>-200727.63</v>
          </cell>
        </row>
        <row r="24">
          <cell r="A24" t="str">
            <v>B100</v>
          </cell>
          <cell r="B24">
            <v>3101180110</v>
          </cell>
          <cell r="C24" t="str">
            <v>DELAYED PAYMENT CHG</v>
          </cell>
          <cell r="D24">
            <v>-415681.21</v>
          </cell>
        </row>
        <row r="25">
          <cell r="A25" t="str">
            <v>B100</v>
          </cell>
          <cell r="B25">
            <v>3102283505</v>
          </cell>
          <cell r="C25" t="str">
            <v>INC: MISC SER CHGS</v>
          </cell>
          <cell r="D25">
            <v>-1460000</v>
          </cell>
        </row>
        <row r="26">
          <cell r="A26" t="str">
            <v>B100</v>
          </cell>
          <cell r="B26">
            <v>4110184100</v>
          </cell>
          <cell r="C26" t="str">
            <v>COST POWER PURCHASED</v>
          </cell>
          <cell r="D26">
            <v>-8811954</v>
          </cell>
        </row>
        <row r="27">
          <cell r="A27" t="str">
            <v>B100</v>
          </cell>
          <cell r="B27">
            <v>4110184110</v>
          </cell>
          <cell r="C27" t="str">
            <v>Cost Pow.Pur-Standby</v>
          </cell>
          <cell r="D27">
            <v>660000000</v>
          </cell>
        </row>
        <row r="28">
          <cell r="A28" t="str">
            <v>B100</v>
          </cell>
          <cell r="B28">
            <v>4110184112</v>
          </cell>
          <cell r="C28" t="str">
            <v>Purchase/Transfer of</v>
          </cell>
          <cell r="D28">
            <v>15818968</v>
          </cell>
        </row>
        <row r="29">
          <cell r="A29" t="str">
            <v>B100</v>
          </cell>
          <cell r="B29">
            <v>4110184500</v>
          </cell>
          <cell r="C29" t="str">
            <v>FAC-POWER PUR</v>
          </cell>
          <cell r="D29">
            <v>175612</v>
          </cell>
        </row>
        <row r="30">
          <cell r="A30" t="str">
            <v>B100</v>
          </cell>
          <cell r="B30">
            <v>4110184510</v>
          </cell>
          <cell r="C30" t="str">
            <v>Wind Energy Banked w</v>
          </cell>
          <cell r="D30">
            <v>0</v>
          </cell>
        </row>
        <row r="31">
          <cell r="A31" t="str">
            <v>B100</v>
          </cell>
          <cell r="B31">
            <v>4110284200</v>
          </cell>
          <cell r="C31" t="str">
            <v>TAXSALEOFELECTRICITY</v>
          </cell>
          <cell r="D31">
            <v>41202083</v>
          </cell>
        </row>
        <row r="32">
          <cell r="A32" t="str">
            <v>B100</v>
          </cell>
          <cell r="B32">
            <v>4110384050</v>
          </cell>
          <cell r="C32" t="str">
            <v>DEP-P&amp;M</v>
          </cell>
          <cell r="D32">
            <v>2167622.7000000002</v>
          </cell>
        </row>
        <row r="33">
          <cell r="A33" t="str">
            <v>B100</v>
          </cell>
          <cell r="B33">
            <v>4110384070</v>
          </cell>
          <cell r="C33" t="str">
            <v>DEP-FURNITURE&amp;FIXTUR</v>
          </cell>
          <cell r="D33">
            <v>3972.82</v>
          </cell>
        </row>
        <row r="34">
          <cell r="A34" t="str">
            <v>B100</v>
          </cell>
          <cell r="B34">
            <v>4110384080</v>
          </cell>
          <cell r="C34" t="str">
            <v>DEP-MOTOR VEHICLE</v>
          </cell>
          <cell r="D34">
            <v>42589.34</v>
          </cell>
        </row>
        <row r="35">
          <cell r="A35" t="str">
            <v>B100</v>
          </cell>
          <cell r="B35">
            <v>4110485700</v>
          </cell>
          <cell r="C35" t="str">
            <v>INTSECURITYDEPOSITS</v>
          </cell>
          <cell r="D35">
            <v>2260000</v>
          </cell>
        </row>
        <row r="36">
          <cell r="A36" t="str">
            <v>B100</v>
          </cell>
          <cell r="B36">
            <v>4110485800</v>
          </cell>
          <cell r="C36" t="str">
            <v>OTHER INT&amp;COMMITMENT</v>
          </cell>
          <cell r="D36">
            <v>-1397544</v>
          </cell>
        </row>
        <row r="37">
          <cell r="A37" t="str">
            <v>B100</v>
          </cell>
          <cell r="B37">
            <v>4110886200</v>
          </cell>
          <cell r="C37" t="str">
            <v>COMM : BG</v>
          </cell>
          <cell r="D37">
            <v>2627500</v>
          </cell>
        </row>
        <row r="38">
          <cell r="A38" t="str">
            <v>B100</v>
          </cell>
          <cell r="B38">
            <v>4111288700</v>
          </cell>
          <cell r="C38" t="str">
            <v>C-SULTANT'S FEES</v>
          </cell>
          <cell r="D38">
            <v>77000</v>
          </cell>
        </row>
        <row r="39">
          <cell r="A39" t="str">
            <v>B100</v>
          </cell>
          <cell r="B39">
            <v>4111289210</v>
          </cell>
          <cell r="C39" t="str">
            <v>COMPUTER OP EXP</v>
          </cell>
          <cell r="D39">
            <v>22464</v>
          </cell>
        </row>
        <row r="40">
          <cell r="A40" t="str">
            <v>B100</v>
          </cell>
          <cell r="B40">
            <v>4111289950</v>
          </cell>
          <cell r="C40" t="str">
            <v>TATA BRAND EQUITY</v>
          </cell>
          <cell r="D40">
            <v>35380</v>
          </cell>
        </row>
        <row r="41">
          <cell r="A41" t="str">
            <v>B100</v>
          </cell>
          <cell r="B41">
            <v>4111290065</v>
          </cell>
          <cell r="C41" t="str">
            <v>DPC - MSEB BILLS</v>
          </cell>
          <cell r="D41">
            <v>-39266414</v>
          </cell>
        </row>
        <row r="42">
          <cell r="A42" t="str">
            <v>B100</v>
          </cell>
          <cell r="B42">
            <v>4111484800</v>
          </cell>
          <cell r="C42" t="str">
            <v>TAXATION (PROVISION)</v>
          </cell>
          <cell r="D42">
            <v>1068028000</v>
          </cell>
        </row>
        <row r="43">
          <cell r="A43" t="str">
            <v>B100</v>
          </cell>
          <cell r="B43">
            <v>4111988500</v>
          </cell>
          <cell r="C43" t="str">
            <v>COST OF SERVICES</v>
          </cell>
          <cell r="D43">
            <v>800608.39</v>
          </cell>
        </row>
        <row r="44">
          <cell r="A44" t="str">
            <v>B100</v>
          </cell>
          <cell r="B44">
            <v>4111988510</v>
          </cell>
          <cell r="C44" t="str">
            <v>PUR/TRANOFSERVICES</v>
          </cell>
          <cell r="D44">
            <v>382049</v>
          </cell>
        </row>
        <row r="45">
          <cell r="A45" t="str">
            <v>B100</v>
          </cell>
          <cell r="B45">
            <v>4111988520</v>
          </cell>
          <cell r="C45" t="str">
            <v>COST SERVICES-TCE</v>
          </cell>
          <cell r="D45">
            <v>91285</v>
          </cell>
        </row>
        <row r="46">
          <cell r="A46" t="str">
            <v>B100</v>
          </cell>
          <cell r="B46">
            <v>4112584300</v>
          </cell>
          <cell r="C46" t="str">
            <v>WHEELINGCHARGESPAID</v>
          </cell>
          <cell r="D46">
            <v>36894841</v>
          </cell>
        </row>
        <row r="47">
          <cell r="A47" t="str">
            <v>B100</v>
          </cell>
          <cell r="B47">
            <v>4112584310</v>
          </cell>
          <cell r="C47" t="str">
            <v>FACWHEELCHGSP'BLE</v>
          </cell>
          <cell r="D47">
            <v>1403489</v>
          </cell>
        </row>
        <row r="48">
          <cell r="A48" t="str">
            <v>B100</v>
          </cell>
          <cell r="B48">
            <v>4113784950</v>
          </cell>
          <cell r="C48" t="str">
            <v>DEFERRED TAX (PROVIS</v>
          </cell>
          <cell r="D48">
            <v>-6108000</v>
          </cell>
        </row>
        <row r="49">
          <cell r="A49" t="str">
            <v>B100</v>
          </cell>
          <cell r="B49">
            <v>4120190100</v>
          </cell>
          <cell r="C49" t="str">
            <v>CONFIDENTIAL SALARY&amp;</v>
          </cell>
          <cell r="D49">
            <v>206500</v>
          </cell>
        </row>
        <row r="50">
          <cell r="A50" t="str">
            <v>B100</v>
          </cell>
          <cell r="B50">
            <v>4120190200</v>
          </cell>
          <cell r="C50" t="str">
            <v>STAFF SALARY&amp;D.A.</v>
          </cell>
          <cell r="D50">
            <v>80170</v>
          </cell>
        </row>
        <row r="51">
          <cell r="A51" t="str">
            <v>B100</v>
          </cell>
          <cell r="B51">
            <v>4120190510</v>
          </cell>
          <cell r="C51" t="str">
            <v>Dearness Allowance</v>
          </cell>
          <cell r="D51">
            <v>305427</v>
          </cell>
        </row>
        <row r="52">
          <cell r="A52" t="str">
            <v>B100</v>
          </cell>
          <cell r="B52">
            <v>4120190600</v>
          </cell>
          <cell r="C52" t="str">
            <v>OVERTIME</v>
          </cell>
          <cell r="D52">
            <v>97931.15</v>
          </cell>
        </row>
        <row r="53">
          <cell r="A53" t="str">
            <v>B100</v>
          </cell>
          <cell r="B53">
            <v>4120190900</v>
          </cell>
          <cell r="C53" t="str">
            <v>EDUCATIONAL BENEFIT</v>
          </cell>
          <cell r="D53">
            <v>15600</v>
          </cell>
        </row>
        <row r="54">
          <cell r="A54" t="str">
            <v>B100</v>
          </cell>
          <cell r="B54">
            <v>4120191400</v>
          </cell>
          <cell r="C54" t="str">
            <v>HOUSE REP/MNTC ALLW</v>
          </cell>
          <cell r="D54">
            <v>116330</v>
          </cell>
        </row>
        <row r="55">
          <cell r="A55" t="str">
            <v>B100</v>
          </cell>
          <cell r="B55">
            <v>4120192800</v>
          </cell>
          <cell r="C55" t="str">
            <v>SPECIAL ALLW</v>
          </cell>
          <cell r="D55">
            <v>15820</v>
          </cell>
        </row>
        <row r="56">
          <cell r="A56" t="str">
            <v>B100</v>
          </cell>
          <cell r="B56">
            <v>4120192820</v>
          </cell>
          <cell r="C56" t="str">
            <v>CONVEYANCE ALLW</v>
          </cell>
          <cell r="D56">
            <v>48500</v>
          </cell>
        </row>
        <row r="57">
          <cell r="A57" t="str">
            <v>B100</v>
          </cell>
          <cell r="B57">
            <v>4120192830</v>
          </cell>
          <cell r="C57" t="str">
            <v>COMP ALLW</v>
          </cell>
          <cell r="D57">
            <v>58900</v>
          </cell>
        </row>
        <row r="58">
          <cell r="A58" t="str">
            <v>B100</v>
          </cell>
          <cell r="B58">
            <v>4120192835</v>
          </cell>
          <cell r="C58" t="str">
            <v>Telephone Allowance</v>
          </cell>
          <cell r="D58">
            <v>6000</v>
          </cell>
        </row>
        <row r="59">
          <cell r="A59" t="str">
            <v>B100</v>
          </cell>
          <cell r="B59">
            <v>4120193100</v>
          </cell>
          <cell r="C59" t="str">
            <v>INT SUBSIDY</v>
          </cell>
          <cell r="D59">
            <v>3223</v>
          </cell>
        </row>
        <row r="60">
          <cell r="A60" t="str">
            <v>B100</v>
          </cell>
          <cell r="B60">
            <v>4120193110</v>
          </cell>
          <cell r="C60" t="str">
            <v>Other Allowances</v>
          </cell>
          <cell r="D60">
            <v>24200</v>
          </cell>
        </row>
        <row r="61">
          <cell r="A61" t="str">
            <v>B100</v>
          </cell>
          <cell r="B61">
            <v>4120291000</v>
          </cell>
          <cell r="C61" t="str">
            <v>LEAVE TRAVEL ASSISTA</v>
          </cell>
          <cell r="D61">
            <v>12050</v>
          </cell>
        </row>
        <row r="62">
          <cell r="A62" t="str">
            <v>B100</v>
          </cell>
          <cell r="B62">
            <v>4120291100</v>
          </cell>
          <cell r="C62" t="str">
            <v>MEDICAL EXP</v>
          </cell>
          <cell r="D62">
            <v>57738</v>
          </cell>
        </row>
        <row r="63">
          <cell r="A63" t="str">
            <v>B100</v>
          </cell>
          <cell r="B63">
            <v>4120292000</v>
          </cell>
          <cell r="C63" t="str">
            <v>SUNDRY WELFARE EXP</v>
          </cell>
          <cell r="D63">
            <v>27720</v>
          </cell>
        </row>
        <row r="64">
          <cell r="A64" t="str">
            <v>B100</v>
          </cell>
          <cell r="B64">
            <v>4120392100</v>
          </cell>
          <cell r="C64" t="str">
            <v>CO'S CONT PROVIDENT</v>
          </cell>
          <cell r="D64">
            <v>71052</v>
          </cell>
        </row>
        <row r="65">
          <cell r="A65" t="str">
            <v>B100</v>
          </cell>
          <cell r="B65">
            <v>4130294685</v>
          </cell>
          <cell r="C65" t="str">
            <v>UNCODED MATERIL 2910</v>
          </cell>
          <cell r="D65">
            <v>0</v>
          </cell>
        </row>
        <row r="66">
          <cell r="A66" t="str">
            <v>B100</v>
          </cell>
          <cell r="B66">
            <v>4130294700</v>
          </cell>
          <cell r="C66" t="str">
            <v>PETROL/DSL CONS 1400</v>
          </cell>
          <cell r="D66">
            <v>34110.31</v>
          </cell>
        </row>
        <row r="67">
          <cell r="A67" t="str">
            <v>B100</v>
          </cell>
          <cell r="B67">
            <v>4130294715</v>
          </cell>
          <cell r="C67" t="str">
            <v>SERV-UNCODED/ONE TM</v>
          </cell>
          <cell r="D67">
            <v>0</v>
          </cell>
        </row>
        <row r="68">
          <cell r="A68" t="str">
            <v>B100</v>
          </cell>
          <cell r="B68">
            <v>4130595800</v>
          </cell>
          <cell r="C68" t="str">
            <v>TRANSP VEH-REPAIRS</v>
          </cell>
          <cell r="D68">
            <v>11942</v>
          </cell>
        </row>
        <row r="69">
          <cell r="A69" t="str">
            <v>B100</v>
          </cell>
          <cell r="B69">
            <v>4130796400</v>
          </cell>
          <cell r="C69" t="str">
            <v>RT BUILDINGS</v>
          </cell>
          <cell r="D69">
            <v>967212</v>
          </cell>
        </row>
        <row r="70">
          <cell r="A70" t="str">
            <v>B100</v>
          </cell>
          <cell r="B70">
            <v>4131097600</v>
          </cell>
          <cell r="C70" t="str">
            <v>ELECTRICITY CONSUMED</v>
          </cell>
          <cell r="D70">
            <v>8376.7800000000007</v>
          </cell>
        </row>
        <row r="71">
          <cell r="A71" t="str">
            <v>B100</v>
          </cell>
          <cell r="B71">
            <v>4131097800</v>
          </cell>
          <cell r="C71" t="str">
            <v>OTHER FEES</v>
          </cell>
          <cell r="D71">
            <v>0</v>
          </cell>
        </row>
        <row r="72">
          <cell r="A72" t="str">
            <v>B100</v>
          </cell>
          <cell r="B72">
            <v>4131097900</v>
          </cell>
          <cell r="C72" t="str">
            <v>TELEPHONE CHG</v>
          </cell>
          <cell r="D72">
            <v>59993</v>
          </cell>
        </row>
        <row r="73">
          <cell r="A73" t="str">
            <v>B100</v>
          </cell>
          <cell r="B73">
            <v>4131098000</v>
          </cell>
          <cell r="C73" t="str">
            <v>STAMPS AND TELEGRAMS</v>
          </cell>
          <cell r="D73">
            <v>7067.51</v>
          </cell>
        </row>
        <row r="74">
          <cell r="A74" t="str">
            <v>B100</v>
          </cell>
          <cell r="B74">
            <v>4131098100</v>
          </cell>
          <cell r="C74" t="str">
            <v>PRINTING AND STN.</v>
          </cell>
          <cell r="D74">
            <v>102425.2</v>
          </cell>
        </row>
        <row r="75">
          <cell r="A75" t="str">
            <v>B100</v>
          </cell>
          <cell r="B75">
            <v>4131098200</v>
          </cell>
          <cell r="C75" t="str">
            <v>BOOKS AND PERIODICAL</v>
          </cell>
          <cell r="D75">
            <v>1881</v>
          </cell>
        </row>
        <row r="76">
          <cell r="A76" t="str">
            <v>B100</v>
          </cell>
          <cell r="B76">
            <v>4131098400</v>
          </cell>
          <cell r="C76" t="str">
            <v>ENTERTAINMENT</v>
          </cell>
          <cell r="D76">
            <v>1020</v>
          </cell>
        </row>
        <row r="77">
          <cell r="A77" t="str">
            <v>B100</v>
          </cell>
          <cell r="B77">
            <v>4131098600</v>
          </cell>
          <cell r="C77" t="str">
            <v>MISCELLANEOUS</v>
          </cell>
          <cell r="D77">
            <v>76487.77</v>
          </cell>
        </row>
        <row r="78">
          <cell r="A78" t="str">
            <v>B100</v>
          </cell>
          <cell r="B78">
            <v>4131098605</v>
          </cell>
          <cell r="C78" t="str">
            <v>Rounding Diff ExpA/C</v>
          </cell>
          <cell r="D78">
            <v>496.6</v>
          </cell>
        </row>
        <row r="79">
          <cell r="A79" t="str">
            <v>B100</v>
          </cell>
          <cell r="B79">
            <v>4131098610</v>
          </cell>
          <cell r="C79" t="str">
            <v>FOOD&amp;CONVEYANCE</v>
          </cell>
          <cell r="D79">
            <v>6400</v>
          </cell>
        </row>
        <row r="80">
          <cell r="A80" t="str">
            <v>B100</v>
          </cell>
          <cell r="B80">
            <v>4131098700</v>
          </cell>
          <cell r="C80" t="str">
            <v>BANK CHG</v>
          </cell>
          <cell r="D80">
            <v>4222</v>
          </cell>
        </row>
        <row r="81">
          <cell r="A81" t="str">
            <v>B100</v>
          </cell>
          <cell r="B81">
            <v>4131099100</v>
          </cell>
          <cell r="C81" t="str">
            <v>TRAVELLING EXP-INLAN</v>
          </cell>
          <cell r="D81">
            <v>9551</v>
          </cell>
        </row>
        <row r="82">
          <cell r="A82" t="str">
            <v>B100</v>
          </cell>
          <cell r="B82">
            <v>4131099300</v>
          </cell>
          <cell r="C82" t="str">
            <v>CONVEYANCE CHG</v>
          </cell>
          <cell r="D82">
            <v>27277</v>
          </cell>
        </row>
        <row r="83">
          <cell r="A83" t="str">
            <v>B100</v>
          </cell>
          <cell r="B83">
            <v>4131099520</v>
          </cell>
          <cell r="C83" t="str">
            <v>TRANSPORT CHARGES</v>
          </cell>
          <cell r="D83">
            <v>-1258</v>
          </cell>
        </row>
        <row r="84">
          <cell r="A84" t="str">
            <v>B100</v>
          </cell>
          <cell r="B84">
            <v>4131099700</v>
          </cell>
          <cell r="C84" t="str">
            <v>FURN/TLS &lt;.500) W/O</v>
          </cell>
          <cell r="D84">
            <v>4800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nrates"/>
      <sheetName val="Sheet1"/>
      <sheetName val="INDEX"/>
      <sheetName val="May 05"/>
      <sheetName val="FAC (Running FAC)"/>
    </sheetNames>
    <sheetDataSet>
      <sheetData sheetId="0" refreshError="1"/>
      <sheetData sheetId="1" refreshError="1"/>
      <sheetData sheetId="2" refreshError="1"/>
      <sheetData sheetId="3" refreshError="1"/>
      <sheetData sheetId="4"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공통데이터"/>
      <sheetName val="자재리스트"/>
      <sheetName val="제작데이터"/>
      <sheetName val="타부서집계표"/>
      <sheetName val="개요"/>
      <sheetName val="결재"/>
      <sheetName val="대비"/>
      <sheetName val="변동"/>
      <sheetName val="적용내역데이터"/>
      <sheetName val="세부내역"/>
      <sheetName val="1"/>
      <sheetName val="집계표"/>
      <sheetName val="생산목표"/>
      <sheetName val="제품별부문원가"/>
      <sheetName val="제품별제조원가"/>
      <sheetName val="Co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23">
          <cell r="D23">
            <v>699.42</v>
          </cell>
        </row>
        <row r="24">
          <cell r="D24">
            <v>0</v>
          </cell>
        </row>
        <row r="25">
          <cell r="D25">
            <v>0</v>
          </cell>
        </row>
        <row r="26">
          <cell r="D26">
            <v>0</v>
          </cell>
        </row>
        <row r="27">
          <cell r="D27">
            <v>0</v>
          </cell>
        </row>
        <row r="28">
          <cell r="D28">
            <v>0</v>
          </cell>
        </row>
        <row r="29">
          <cell r="D29">
            <v>0</v>
          </cell>
        </row>
        <row r="30">
          <cell r="D30">
            <v>0</v>
          </cell>
        </row>
        <row r="31">
          <cell r="D31">
            <v>0</v>
          </cell>
        </row>
        <row r="32">
          <cell r="D32">
            <v>0</v>
          </cell>
        </row>
        <row r="33">
          <cell r="D33">
            <v>0</v>
          </cell>
        </row>
        <row r="34">
          <cell r="D34">
            <v>0</v>
          </cell>
        </row>
        <row r="35">
          <cell r="D35">
            <v>0</v>
          </cell>
        </row>
        <row r="36">
          <cell r="D36">
            <v>0</v>
          </cell>
        </row>
        <row r="37">
          <cell r="D37">
            <v>0</v>
          </cell>
        </row>
        <row r="38">
          <cell r="D38">
            <v>0</v>
          </cell>
        </row>
        <row r="39">
          <cell r="D39">
            <v>0</v>
          </cell>
        </row>
        <row r="40">
          <cell r="D40">
            <v>0</v>
          </cell>
        </row>
        <row r="41">
          <cell r="D41">
            <v>0</v>
          </cell>
        </row>
        <row r="42">
          <cell r="D42">
            <v>0</v>
          </cell>
        </row>
        <row r="43">
          <cell r="D43">
            <v>0</v>
          </cell>
        </row>
        <row r="44">
          <cell r="D44">
            <v>0</v>
          </cell>
        </row>
        <row r="45">
          <cell r="D45">
            <v>0</v>
          </cell>
        </row>
        <row r="46">
          <cell r="D46">
            <v>0</v>
          </cell>
        </row>
        <row r="47">
          <cell r="D47">
            <v>0</v>
          </cell>
        </row>
        <row r="48">
          <cell r="D48">
            <v>0</v>
          </cell>
        </row>
        <row r="49">
          <cell r="D49">
            <v>0</v>
          </cell>
        </row>
        <row r="50">
          <cell r="D50">
            <v>0</v>
          </cell>
        </row>
        <row r="51">
          <cell r="D51">
            <v>0</v>
          </cell>
        </row>
      </sheetData>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ARR-PU"/>
      <sheetName val="Company-Base"/>
      <sheetName val="License Area"/>
      <sheetName val="LA-PU"/>
      <sheetName val="LA-PU (AJE)"/>
      <sheetName val="LA-Revenue"/>
      <sheetName val="ABP Input"/>
      <sheetName val="financial data"/>
      <sheetName val="Notional Int"/>
      <sheetName val="LA-ARR"/>
      <sheetName val="LA-ARR FY07"/>
      <sheetName val="LA-ARR-PU FY07"/>
      <sheetName val="LA-ARR-PU "/>
      <sheetName val="Co. Graphs"/>
      <sheetName val="OB Graphs"/>
      <sheetName val="License_Area"/>
      <sheetName val="LA-PU_(AJE)"/>
      <sheetName val="ABP_Input"/>
      <sheetName val="financial_data"/>
      <sheetName val="Notional_Int"/>
      <sheetName val="LA-ARR_FY07"/>
      <sheetName val="LA-ARR-PU_FY07"/>
      <sheetName val="LA-ARR-PU_"/>
      <sheetName val="Co__Graphs"/>
      <sheetName val="OB_Graph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Sheet1"/>
      <sheetName val="WOrking"/>
    </sheetNames>
    <sheetDataSet>
      <sheetData sheetId="0" refreshError="1"/>
      <sheetData sheetId="1" refreshError="1"/>
      <sheetData sheetId="2"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Sheet1"/>
      <sheetName val="WOrking"/>
    </sheetNames>
    <sheetDataSet>
      <sheetData sheetId="0" refreshError="1"/>
      <sheetData sheetId="1" refreshError="1"/>
      <sheetData sheetId="2"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Sheet1"/>
      <sheetName val="WOrking"/>
    </sheetNames>
    <sheetDataSet>
      <sheetData sheetId="0" refreshError="1"/>
      <sheetData sheetId="1" refreshError="1"/>
      <sheetData sheetId="2"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Tax Sheet"/>
      <sheetName val="Movement"/>
      <sheetName val="FX Gain"/>
      <sheetName val="PBT Movement"/>
      <sheetName val="Scope of Work"/>
      <sheetName val="MIS Comparison"/>
      <sheetName val="Effective Tax Rate"/>
      <sheetName val="Tax Computation"/>
      <sheetName val="New Projects"/>
      <sheetName val="IT Depreciation"/>
      <sheetName val="fcgain"/>
      <sheetName val="FX Gain (2)"/>
      <sheetName val="Exempt Income"/>
      <sheetName val="Depreciation workings"/>
      <sheetName val="LA-80IA"/>
      <sheetName val="MAT (March 07)"/>
      <sheetName val="MAT Credit"/>
      <sheetName val="CAPEX Details"/>
      <sheetName val="XREF"/>
      <sheetName val="Tickmarks"/>
      <sheetName val="Depr_Mar"/>
      <sheetName val="Capitalisation"/>
      <sheetName val="PBT"/>
      <sheetName val="Foreign Exch Gain"/>
      <sheetName val="FBT"/>
      <sheetName val="def tax 08"/>
      <sheetName val="Actual Tax Depreciation Wkg."/>
      <sheetName val="CAPEX Summary"/>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 sheetId="11" refreshError="1"/>
      <sheetData sheetId="12"/>
      <sheetData sheetId="13"/>
      <sheetData sheetId="14" refreshError="1"/>
      <sheetData sheetId="15" refreshError="1"/>
      <sheetData sheetId="16"/>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input"/>
      <sheetName val="Daily report"/>
      <sheetName val="OCM2"/>
      <sheetName val="OCM4"/>
      <sheetName val="OCM1"/>
      <sheetName val="OCM3"/>
      <sheetName val="OCM5"/>
      <sheetName val="OCM7"/>
      <sheetName val="INDEX"/>
      <sheetName val="OCM6"/>
      <sheetName val="highlight"/>
      <sheetName val="water"/>
      <sheetName val="AWARD"/>
      <sheetName val="CE"/>
      <sheetName val="hrawd"/>
      <sheetName val="04REL"/>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1 02 Est.at Existing Tariff"/>
      <sheetName val="Financial Estimates"/>
      <sheetName val="Sheet1"/>
      <sheetName val="Sheet2"/>
      <sheetName val="Sheet3"/>
    </sheetNames>
    <sheetDataSet>
      <sheetData sheetId="0" refreshError="1"/>
      <sheetData sheetId="1" refreshError="1">
        <row r="8">
          <cell r="A8" t="str">
            <v>AI.</v>
          </cell>
          <cell r="B8" t="str">
            <v>ENERGY DISTRIBUTED(MUS)</v>
          </cell>
        </row>
        <row r="10">
          <cell r="A10">
            <v>1</v>
          </cell>
          <cell r="B10" t="str">
            <v>SALES TO TPC'S CONSUMERS</v>
          </cell>
        </row>
        <row r="11">
          <cell r="B11" t="str">
            <v>TEXTILES</v>
          </cell>
        </row>
        <row r="12">
          <cell r="B12" t="str">
            <v>HT INDUSTRIES</v>
          </cell>
        </row>
        <row r="13">
          <cell r="B13" t="str">
            <v>HT COMMERCIAL</v>
          </cell>
        </row>
        <row r="14">
          <cell r="B14" t="str">
            <v>LT INDUSTRIES (SINGLE PART) (incl.Resi.)</v>
          </cell>
        </row>
        <row r="15">
          <cell r="B15" t="str">
            <v>LT INDUSTRIES (TWO PART)</v>
          </cell>
        </row>
        <row r="16">
          <cell r="B16" t="str">
            <v>LT COMMERCIAL (SINGLE PART)</v>
          </cell>
        </row>
        <row r="17">
          <cell r="B17" t="str">
            <v>LT COMMERCIAL (TWO PART)</v>
          </cell>
        </row>
        <row r="18">
          <cell r="B18" t="str">
            <v>RESIDENTIAL</v>
          </cell>
        </row>
        <row r="19">
          <cell r="B19" t="str">
            <v>RAILWAYS(INCL.INTERCHANGE)</v>
          </cell>
        </row>
        <row r="21">
          <cell r="B21" t="str">
            <v>TOTAL (DIRECT CONSUMERS)</v>
          </cell>
        </row>
        <row r="23">
          <cell r="B23" t="str">
            <v>BEST</v>
          </cell>
        </row>
        <row r="24">
          <cell r="B24" t="str">
            <v>BSES (22 KV/ 33 KV SUPPLY)</v>
          </cell>
        </row>
        <row r="25">
          <cell r="B25" t="str">
            <v>BSES (220 KV INTERCONNECTION)</v>
          </cell>
        </row>
        <row r="26">
          <cell r="B26" t="str">
            <v>BSES (TOTAL)</v>
          </cell>
        </row>
        <row r="28">
          <cell r="B28" t="str">
            <v>BEST &amp; BSES- TOTAL</v>
          </cell>
        </row>
        <row r="30">
          <cell r="B30" t="str">
            <v>TOTAL SALES</v>
          </cell>
        </row>
        <row r="33">
          <cell r="A33">
            <v>2</v>
          </cell>
          <cell r="B33" t="str">
            <v>ENERGY ASSISTANCE TO MSEB</v>
          </cell>
        </row>
        <row r="35">
          <cell r="A35">
            <v>3</v>
          </cell>
          <cell r="B35" t="str">
            <v>SALES TO OTHER STATE UTILITIES</v>
          </cell>
        </row>
        <row r="37">
          <cell r="A37">
            <v>4</v>
          </cell>
          <cell r="B37" t="str">
            <v>TOTAL SALES INCLUDING MSEB AND OTHER STATES</v>
          </cell>
        </row>
        <row r="39">
          <cell r="A39">
            <v>5</v>
          </cell>
          <cell r="B39" t="str">
            <v>22 KV WHEELING FOR MSEB</v>
          </cell>
        </row>
        <row r="41">
          <cell r="A41">
            <v>6</v>
          </cell>
          <cell r="B41" t="str">
            <v xml:space="preserve">TOTAL ENERGY DISTRIBUTED </v>
          </cell>
        </row>
        <row r="43">
          <cell r="A43" t="str">
            <v>AII.</v>
          </cell>
          <cell r="B43" t="str">
            <v>RKVAH (MUs)</v>
          </cell>
        </row>
        <row r="45">
          <cell r="B45" t="str">
            <v>TEXTILES</v>
          </cell>
        </row>
        <row r="46">
          <cell r="B46" t="str">
            <v>HT INDUSTRIES</v>
          </cell>
        </row>
        <row r="47">
          <cell r="B47" t="str">
            <v>HT COMMERCIAL</v>
          </cell>
        </row>
        <row r="48">
          <cell r="B48" t="str">
            <v>LT INDUSTRIES (TWO PART TARIFF)</v>
          </cell>
        </row>
        <row r="49">
          <cell r="B49" t="str">
            <v>LT COMMERCIAL (TWO PART TARIFF)</v>
          </cell>
        </row>
        <row r="50">
          <cell r="B50" t="str">
            <v>RAILWAYS(INCL.INTERCHANGE)</v>
          </cell>
        </row>
        <row r="52">
          <cell r="B52" t="str">
            <v>TOTAL TEX./IND./COMM/RLYS</v>
          </cell>
        </row>
        <row r="54">
          <cell r="B54" t="str">
            <v>BEST</v>
          </cell>
        </row>
        <row r="55">
          <cell r="B55" t="str">
            <v>BSES (22 KV)</v>
          </cell>
        </row>
        <row r="56">
          <cell r="B56" t="str">
            <v>BSES (220 KV)</v>
          </cell>
        </row>
        <row r="58">
          <cell r="B58" t="str">
            <v>TOTAL</v>
          </cell>
        </row>
        <row r="61">
          <cell r="A61" t="str">
            <v>AII.</v>
          </cell>
          <cell r="B61" t="str">
            <v>MAXIMUM DEMAND (MVA)</v>
          </cell>
        </row>
        <row r="63">
          <cell r="B63" t="str">
            <v>TEXTILES</v>
          </cell>
        </row>
        <row r="64">
          <cell r="B64" t="str">
            <v>HT INDUSTRIES</v>
          </cell>
        </row>
        <row r="65">
          <cell r="B65" t="str">
            <v>HT COMMERCIAL</v>
          </cell>
        </row>
        <row r="66">
          <cell r="B66" t="str">
            <v>LT INDUSTRIES (TWO PART TARIFF)</v>
          </cell>
        </row>
        <row r="67">
          <cell r="B67" t="str">
            <v>LT COMMERCIAL (TWO PART TARIFF)</v>
          </cell>
        </row>
        <row r="68">
          <cell r="B68" t="str">
            <v>RAILWAYS(INCL.INTERCHANGE)</v>
          </cell>
        </row>
        <row r="70">
          <cell r="B70" t="str">
            <v>TOTAL (DIRECT CONSUMERS)</v>
          </cell>
        </row>
        <row r="72">
          <cell r="B72" t="str">
            <v>BEST</v>
          </cell>
        </row>
        <row r="73">
          <cell r="B73" t="str">
            <v>BSES (22 KV/ 33 KV SUPPLY)</v>
          </cell>
        </row>
        <row r="75">
          <cell r="B75" t="str">
            <v>TOTAL</v>
          </cell>
        </row>
        <row r="78">
          <cell r="A78" t="str">
            <v>B.</v>
          </cell>
          <cell r="B78" t="str">
            <v>TPC GENERATION(MUS)</v>
          </cell>
        </row>
        <row r="80">
          <cell r="A80">
            <v>1</v>
          </cell>
          <cell r="B80" t="str">
            <v>HYDRO</v>
          </cell>
        </row>
        <row r="81">
          <cell r="B81" t="str">
            <v>FROM NATURAL SOURCE OF WATER</v>
          </cell>
        </row>
        <row r="82">
          <cell r="B82" t="str">
            <v>PEAKING ENERGY FROM PUMPED WATER</v>
          </cell>
        </row>
        <row r="83">
          <cell r="B83" t="str">
            <v>TOTAL</v>
          </cell>
        </row>
        <row r="85">
          <cell r="A85">
            <v>2</v>
          </cell>
          <cell r="B85" t="str">
            <v>THERMAL</v>
          </cell>
        </row>
        <row r="86">
          <cell r="B86" t="str">
            <v>UNIT NO.4</v>
          </cell>
        </row>
        <row r="87">
          <cell r="B87" t="str">
            <v>UNIT NO.5</v>
          </cell>
        </row>
        <row r="88">
          <cell r="B88" t="str">
            <v>UNIT NO.6</v>
          </cell>
        </row>
        <row r="89">
          <cell r="B89" t="str">
            <v>UNIT NOS.7 AS GT</v>
          </cell>
        </row>
        <row r="90">
          <cell r="B90" t="str">
            <v>UNIT NO.7</v>
          </cell>
        </row>
        <row r="92">
          <cell r="B92" t="str">
            <v>TOTAL THERMAL GENERATION</v>
          </cell>
        </row>
        <row r="95">
          <cell r="A95">
            <v>4</v>
          </cell>
          <cell r="B95" t="str">
            <v>TOTAL TPC GENERATION</v>
          </cell>
        </row>
        <row r="97">
          <cell r="A97">
            <v>5</v>
          </cell>
          <cell r="B97" t="str">
            <v>AUXILIARY CONSUMPTION</v>
          </cell>
        </row>
        <row r="98">
          <cell r="A98">
            <v>6</v>
          </cell>
          <cell r="B98" t="str">
            <v>ENERGY REQ.FOR PUMPING</v>
          </cell>
        </row>
        <row r="100">
          <cell r="A100">
            <v>6</v>
          </cell>
          <cell r="B100" t="str">
            <v>NET TPC GENERATION</v>
          </cell>
        </row>
        <row r="102">
          <cell r="A102" t="str">
            <v>C.</v>
          </cell>
          <cell r="B102" t="str">
            <v>PURCHASES FROM MSEB(MUS)</v>
          </cell>
        </row>
        <row r="104">
          <cell r="A104">
            <v>1</v>
          </cell>
          <cell r="B104" t="str">
            <v xml:space="preserve">T&amp;D LOSSES </v>
          </cell>
        </row>
        <row r="105">
          <cell r="A105">
            <v>2</v>
          </cell>
          <cell r="B105" t="str">
            <v>EX BUS REQUIREMENT</v>
          </cell>
        </row>
        <row r="106">
          <cell r="A106">
            <v>3</v>
          </cell>
          <cell r="B106" t="str">
            <v>GROSS PURCHASE</v>
          </cell>
        </row>
        <row r="107">
          <cell r="A107">
            <v>4</v>
          </cell>
          <cell r="B107" t="str">
            <v>22 KV WHEELING FOR MSEB</v>
          </cell>
        </row>
        <row r="108">
          <cell r="A108">
            <v>5</v>
          </cell>
          <cell r="B108" t="str">
            <v>NET PURCHASE</v>
          </cell>
        </row>
      </sheetData>
      <sheetData sheetId="2" refreshError="1"/>
      <sheetData sheetId="3" refreshError="1"/>
      <sheetData sheetId="4"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견적서(제출용)"/>
      <sheetName val="견적원가"/>
      <sheetName val="견적기준"/>
      <sheetName val="RATE"/>
      <sheetName val="견적서"/>
      <sheetName val="Sep WorkShee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규격"/>
      <sheetName val="표준"/>
      <sheetName val="재료조서DB"/>
      <sheetName val="재료조서"/>
      <sheetName val="자동필터(토탈)"/>
      <sheetName val="자동필터(앵글)"/>
      <sheetName val="자동필터(볼트,플레이트)"/>
      <sheetName val="200 X 20"/>
      <sheetName val="Sheet3"/>
      <sheetName val="피벗"/>
      <sheetName val="200_X_20"/>
      <sheetName val="견적기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기준표"/>
      <sheetName val="44-UBOLT"/>
      <sheetName val="44-STRAP"/>
      <sheetName val="46TYPE"/>
      <sheetName val="EYE-PLATE"/>
    </sheetNames>
    <sheetDataSet>
      <sheetData sheetId="0" refreshError="1">
        <row r="1">
          <cell r="A1" t="str">
            <v>구분</v>
          </cell>
          <cell r="B1" t="str">
            <v>단가</v>
          </cell>
          <cell r="C1" t="str">
            <v>단가 기준</v>
          </cell>
        </row>
        <row r="2">
          <cell r="A2" t="str">
            <v>A36</v>
          </cell>
          <cell r="B2">
            <v>450</v>
          </cell>
          <cell r="C2" t="str">
            <v>KG당 단가</v>
          </cell>
        </row>
        <row r="3">
          <cell r="A3" t="str">
            <v>A387-11</v>
          </cell>
          <cell r="B3">
            <v>2200</v>
          </cell>
          <cell r="C3" t="str">
            <v>KG당 단가</v>
          </cell>
        </row>
        <row r="4">
          <cell r="A4" t="str">
            <v>A387-22</v>
          </cell>
          <cell r="B4">
            <v>2200</v>
          </cell>
          <cell r="C4" t="str">
            <v>KG당 단가</v>
          </cell>
        </row>
        <row r="5">
          <cell r="A5" t="str">
            <v>A516-70</v>
          </cell>
          <cell r="B5">
            <v>550</v>
          </cell>
          <cell r="C5" t="str">
            <v>KG당 단가</v>
          </cell>
        </row>
      </sheetData>
      <sheetData sheetId="1" refreshError="1"/>
      <sheetData sheetId="2" refreshError="1"/>
      <sheetData sheetId="3" refreshError="1"/>
      <sheetData sheetId="4"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FURNACE현설내역"/>
      <sheetName val=" FURNACE현설"/>
      <sheetName val="furnace-equip."/>
    </sheetNames>
    <sheetDataSet>
      <sheetData sheetId="0" refreshError="1"/>
      <sheetData sheetId="1" refreshError="1"/>
      <sheetData sheetId="2" refreshError="1">
        <row r="1">
          <cell r="B1" t="str">
            <v>COST BREAKDOWN SHEET</v>
          </cell>
        </row>
        <row r="2">
          <cell r="A2" t="str">
            <v>AREA: FURNACE AREA</v>
          </cell>
        </row>
        <row r="3">
          <cell r="A3" t="str">
            <v>DESCRIPTION</v>
          </cell>
          <cell r="B3" t="str">
            <v>UNIT</v>
          </cell>
          <cell r="C3" t="str">
            <v>Q'TY</v>
          </cell>
          <cell r="D3" t="str">
            <v xml:space="preserve">     MAT'L COST</v>
          </cell>
          <cell r="F3" t="str">
            <v xml:space="preserve">  LABOR COST</v>
          </cell>
          <cell r="H3" t="str">
            <v xml:space="preserve">     C/EQUIP COST</v>
          </cell>
          <cell r="J3" t="str">
            <v xml:space="preserve">    TOTAL</v>
          </cell>
          <cell r="K3" t="str">
            <v xml:space="preserve"> </v>
          </cell>
        </row>
        <row r="4">
          <cell r="D4" t="str">
            <v>U/PRICE</v>
          </cell>
          <cell r="E4" t="str">
            <v>AMOUNT</v>
          </cell>
          <cell r="F4" t="str">
            <v>U/PRICE</v>
          </cell>
          <cell r="G4" t="str">
            <v>AMOUNT</v>
          </cell>
          <cell r="H4" t="str">
            <v>U/PRICE</v>
          </cell>
          <cell r="I4" t="str">
            <v>AMOUNT</v>
          </cell>
          <cell r="J4" t="str">
            <v>U/PRICE</v>
          </cell>
          <cell r="K4" t="str">
            <v>AMOUNT</v>
          </cell>
        </row>
        <row r="5">
          <cell r="A5" t="str">
            <v>A. EQUIPMENT STRUCTURE</v>
          </cell>
        </row>
        <row r="6">
          <cell r="A6" t="str">
            <v xml:space="preserve"> 1)MAIN STRUCTURE</v>
          </cell>
          <cell r="B6" t="str">
            <v>TON</v>
          </cell>
          <cell r="C6">
            <v>41</v>
          </cell>
        </row>
        <row r="7">
          <cell r="A7" t="str">
            <v xml:space="preserve"> 2)PLATFORM &amp; STAIR (C/S)</v>
          </cell>
          <cell r="B7" t="str">
            <v>TON</v>
          </cell>
          <cell r="C7">
            <v>2</v>
          </cell>
          <cell r="H7" t="str">
            <v xml:space="preserve"> </v>
          </cell>
          <cell r="I7" t="str">
            <v xml:space="preserve"> </v>
          </cell>
        </row>
        <row r="8">
          <cell r="A8" t="str">
            <v xml:space="preserve"> 3)PLATFORM &amp; STAIR (SUS)</v>
          </cell>
          <cell r="B8" t="str">
            <v>TON</v>
          </cell>
          <cell r="C8">
            <v>2</v>
          </cell>
          <cell r="F8" t="str">
            <v xml:space="preserve"> </v>
          </cell>
          <cell r="H8" t="str">
            <v xml:space="preserve"> </v>
          </cell>
          <cell r="I8" t="str">
            <v xml:space="preserve"> </v>
          </cell>
        </row>
        <row r="9">
          <cell r="A9" t="str">
            <v xml:space="preserve"> 4)Handrail &amp; ladder fab.&amp;install.</v>
          </cell>
          <cell r="B9" t="str">
            <v>TON</v>
          </cell>
          <cell r="C9">
            <v>3</v>
          </cell>
        </row>
        <row r="10">
          <cell r="A10" t="str">
            <v xml:space="preserve"> 5)Grating install.</v>
          </cell>
          <cell r="B10" t="str">
            <v>TON</v>
          </cell>
          <cell r="C10">
            <v>5</v>
          </cell>
        </row>
        <row r="11">
          <cell r="A11" t="str">
            <v xml:space="preserve"> 6)H.T bolt,nut &amp; machine bolt,nut</v>
          </cell>
          <cell r="B11" t="str">
            <v>TON</v>
          </cell>
          <cell r="C11">
            <v>53</v>
          </cell>
        </row>
        <row r="12">
          <cell r="A12" t="str">
            <v>Sub-total</v>
          </cell>
          <cell r="C12">
            <v>53</v>
          </cell>
          <cell r="F12" t="str">
            <v xml:space="preserve"> </v>
          </cell>
          <cell r="H12" t="str">
            <v xml:space="preserve"> </v>
          </cell>
          <cell r="I12" t="str">
            <v xml:space="preserve"> </v>
          </cell>
        </row>
        <row r="13">
          <cell r="F13" t="str">
            <v xml:space="preserve"> </v>
          </cell>
          <cell r="H13" t="str">
            <v xml:space="preserve"> </v>
          </cell>
          <cell r="I13" t="str">
            <v xml:space="preserve"> </v>
          </cell>
        </row>
        <row r="14">
          <cell r="F14" t="str">
            <v xml:space="preserve"> </v>
          </cell>
          <cell r="H14" t="str">
            <v xml:space="preserve"> </v>
          </cell>
          <cell r="I14" t="str">
            <v xml:space="preserve"> </v>
          </cell>
        </row>
        <row r="15">
          <cell r="A15" t="str">
            <v>B.PLATFORM &amp; LADDER FOR TOWER(SUS)</v>
          </cell>
          <cell r="F15" t="str">
            <v xml:space="preserve"> </v>
          </cell>
          <cell r="H15" t="str">
            <v xml:space="preserve"> </v>
          </cell>
          <cell r="I15" t="str">
            <v xml:space="preserve"> </v>
          </cell>
        </row>
        <row r="16">
          <cell r="A16" t="str">
            <v xml:space="preserve"> 1)PLATFORM &amp; STAIR</v>
          </cell>
          <cell r="B16" t="str">
            <v>TON</v>
          </cell>
          <cell r="C16">
            <v>3</v>
          </cell>
          <cell r="F16" t="str">
            <v xml:space="preserve"> </v>
          </cell>
          <cell r="H16" t="str">
            <v xml:space="preserve"> </v>
          </cell>
          <cell r="I16" t="str">
            <v xml:space="preserve"> </v>
          </cell>
        </row>
        <row r="17">
          <cell r="A17" t="str">
            <v xml:space="preserve"> 2)HANDRAIL &amp; LADDER</v>
          </cell>
          <cell r="B17" t="str">
            <v>TON</v>
          </cell>
          <cell r="C17">
            <v>3</v>
          </cell>
          <cell r="F17" t="str">
            <v xml:space="preserve"> </v>
          </cell>
          <cell r="H17" t="str">
            <v xml:space="preserve"> </v>
          </cell>
          <cell r="I17" t="str">
            <v xml:space="preserve"> </v>
          </cell>
        </row>
        <row r="18">
          <cell r="A18" t="str">
            <v xml:space="preserve"> 3)H.T bolt,nut &amp; machine bolt,nut</v>
          </cell>
          <cell r="B18" t="str">
            <v>TON</v>
          </cell>
          <cell r="C18">
            <v>6</v>
          </cell>
        </row>
        <row r="19">
          <cell r="A19" t="str">
            <v>Sub-total</v>
          </cell>
          <cell r="C19">
            <v>6</v>
          </cell>
          <cell r="F19" t="str">
            <v xml:space="preserve"> </v>
          </cell>
          <cell r="H19" t="str">
            <v xml:space="preserve"> </v>
          </cell>
          <cell r="I19" t="str">
            <v xml:space="preserve"> </v>
          </cell>
        </row>
        <row r="20">
          <cell r="F20" t="str">
            <v xml:space="preserve"> </v>
          </cell>
          <cell r="H20" t="str">
            <v xml:space="preserve"> </v>
          </cell>
          <cell r="I20" t="str">
            <v xml:space="preserve"> </v>
          </cell>
        </row>
        <row r="21">
          <cell r="H21" t="str">
            <v xml:space="preserve"> </v>
          </cell>
          <cell r="I21" t="str">
            <v xml:space="preserve"> </v>
          </cell>
        </row>
        <row r="22">
          <cell r="A22" t="str">
            <v>GRAND TOTAL</v>
          </cell>
          <cell r="C22">
            <v>59</v>
          </cell>
          <cell r="H22" t="str">
            <v xml:space="preserve"> </v>
          </cell>
          <cell r="I22" t="str">
            <v xml:space="preserve"> </v>
          </cell>
        </row>
      </sheetData>
      <sheetData sheetId="3"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예제"/>
      <sheetName val="Sheet2"/>
      <sheetName val="Sheet3"/>
      <sheetName val=" FURNACE현설"/>
    </sheetNames>
    <sheetDataSet>
      <sheetData sheetId="0" refreshError="1">
        <row r="1">
          <cell r="C1" t="str">
            <v>농산물</v>
          </cell>
        </row>
        <row r="15">
          <cell r="A15">
            <v>3</v>
          </cell>
        </row>
      </sheetData>
      <sheetData sheetId="1" refreshError="1"/>
      <sheetData sheetId="2" refreshError="1"/>
      <sheetData sheetId="3"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B-MAN1"/>
    </sheetNames>
    <sheetDataSet>
      <sheetData sheetId="0" refreshError="1">
        <row r="40">
          <cell r="D40" t="str">
            <v>96.05.26</v>
          </cell>
          <cell r="H40">
            <v>35172</v>
          </cell>
          <cell r="K40" t="str">
            <v xml:space="preserve"> </v>
          </cell>
          <cell r="T40" t="str">
            <v>LCL</v>
          </cell>
          <cell r="U40" t="str">
            <v>Mongkol</v>
          </cell>
          <cell r="X40">
            <v>35440</v>
          </cell>
          <cell r="AG40">
            <v>35198</v>
          </cell>
          <cell r="AW40">
            <v>35093</v>
          </cell>
        </row>
        <row r="41">
          <cell r="D41" t="str">
            <v>LCL</v>
          </cell>
          <cell r="E41" t="str">
            <v>Somsak</v>
          </cell>
          <cell r="G41" t="str">
            <v xml:space="preserve"> </v>
          </cell>
          <cell r="K41" t="str">
            <v xml:space="preserve"> </v>
          </cell>
          <cell r="P41" t="str">
            <v>Tank / Lining</v>
          </cell>
          <cell r="T41">
            <v>35363</v>
          </cell>
          <cell r="X41" t="str">
            <v>LCL</v>
          </cell>
          <cell r="Y41" t="str">
            <v>Prasit</v>
          </cell>
          <cell r="AG41" t="str">
            <v>TCN</v>
          </cell>
          <cell r="AH41" t="str">
            <v>O. Gomez</v>
          </cell>
          <cell r="AW41" t="str">
            <v>LCL</v>
          </cell>
          <cell r="AX41" t="str">
            <v>Manusak</v>
          </cell>
        </row>
        <row r="42">
          <cell r="D42" t="str">
            <v>95.12.25</v>
          </cell>
          <cell r="G42" t="str">
            <v xml:space="preserve"> </v>
          </cell>
          <cell r="H42" t="str">
            <v>Q   /   S</v>
          </cell>
          <cell r="K42" t="str">
            <v xml:space="preserve"> </v>
          </cell>
          <cell r="P42" t="str">
            <v>GJ</v>
          </cell>
          <cell r="Q42" t="str">
            <v>강 민 형</v>
          </cell>
          <cell r="T42" t="str">
            <v>LCL</v>
          </cell>
          <cell r="U42" t="str">
            <v>Nattaphong</v>
          </cell>
          <cell r="X42">
            <v>35440</v>
          </cell>
          <cell r="AG42">
            <v>35183</v>
          </cell>
          <cell r="AW42">
            <v>35268</v>
          </cell>
        </row>
        <row r="43">
          <cell r="D43" t="str">
            <v>LCL</v>
          </cell>
          <cell r="E43" t="str">
            <v>Samart</v>
          </cell>
          <cell r="G43" t="str">
            <v xml:space="preserve"> </v>
          </cell>
          <cell r="H43" t="str">
            <v>TCN</v>
          </cell>
          <cell r="I43" t="str">
            <v xml:space="preserve">  S. ROWE</v>
          </cell>
          <cell r="K43" t="str">
            <v xml:space="preserve"> </v>
          </cell>
          <cell r="P43" t="str">
            <v>95.03.08 / 95.09.14</v>
          </cell>
          <cell r="T43">
            <v>35366</v>
          </cell>
          <cell r="X43" t="str">
            <v>LCL</v>
          </cell>
          <cell r="Y43" t="str">
            <v>Chalit</v>
          </cell>
          <cell r="AG43" t="str">
            <v>TCN</v>
          </cell>
          <cell r="AH43" t="str">
            <v>Rozario</v>
          </cell>
          <cell r="AW43" t="str">
            <v>LCL</v>
          </cell>
          <cell r="AX43" t="str">
            <v>Mankiet</v>
          </cell>
        </row>
        <row r="44">
          <cell r="D44" t="str">
            <v>96.02.05</v>
          </cell>
          <cell r="G44" t="str">
            <v xml:space="preserve"> </v>
          </cell>
          <cell r="H44">
            <v>34895</v>
          </cell>
          <cell r="K44" t="str">
            <v xml:space="preserve"> </v>
          </cell>
          <cell r="P44" t="str">
            <v>LCL</v>
          </cell>
          <cell r="Q44" t="str">
            <v>Prong</v>
          </cell>
          <cell r="T44" t="str">
            <v>TCN</v>
          </cell>
          <cell r="U44" t="str">
            <v>A. Tiongo</v>
          </cell>
          <cell r="X44">
            <v>35445</v>
          </cell>
          <cell r="AG44">
            <v>35258</v>
          </cell>
          <cell r="AW44">
            <v>35205</v>
          </cell>
        </row>
        <row r="45">
          <cell r="D45" t="str">
            <v>LCL</v>
          </cell>
          <cell r="E45" t="str">
            <v>Sathian</v>
          </cell>
          <cell r="G45" t="str">
            <v xml:space="preserve"> </v>
          </cell>
          <cell r="K45" t="str">
            <v xml:space="preserve"> </v>
          </cell>
          <cell r="P45">
            <v>35044</v>
          </cell>
          <cell r="T45">
            <v>35357</v>
          </cell>
          <cell r="X45" t="str">
            <v>LCL</v>
          </cell>
          <cell r="Y45" t="str">
            <v>Kritsada</v>
          </cell>
          <cell r="AG45" t="str">
            <v>TCN</v>
          </cell>
          <cell r="AH45" t="str">
            <v>E. Magadia</v>
          </cell>
          <cell r="AW45" t="str">
            <v>LCL</v>
          </cell>
          <cell r="AX45" t="str">
            <v>Phichet</v>
          </cell>
        </row>
        <row r="46">
          <cell r="D46">
            <v>35328</v>
          </cell>
          <cell r="G46" t="str">
            <v xml:space="preserve"> </v>
          </cell>
          <cell r="K46" t="str">
            <v xml:space="preserve"> </v>
          </cell>
          <cell r="P46" t="str">
            <v>LCL</v>
          </cell>
          <cell r="Q46" t="str">
            <v>Swan</v>
          </cell>
          <cell r="T46" t="str">
            <v>LCL</v>
          </cell>
          <cell r="U46" t="str">
            <v>Suchart</v>
          </cell>
          <cell r="X46">
            <v>35450</v>
          </cell>
          <cell r="AG46">
            <v>35469</v>
          </cell>
          <cell r="AW46">
            <v>35115</v>
          </cell>
        </row>
        <row r="47">
          <cell r="G47" t="str">
            <v xml:space="preserve"> </v>
          </cell>
          <cell r="K47" t="str">
            <v xml:space="preserve"> </v>
          </cell>
          <cell r="P47">
            <v>35464</v>
          </cell>
          <cell r="T47">
            <v>35450</v>
          </cell>
          <cell r="X47" t="str">
            <v>LCL</v>
          </cell>
          <cell r="Y47" t="str">
            <v>Pasathorn</v>
          </cell>
          <cell r="AG47" t="str">
            <v>TCN</v>
          </cell>
          <cell r="AH47" t="str">
            <v>M. Clay</v>
          </cell>
          <cell r="AW47" t="str">
            <v>LCL</v>
          </cell>
          <cell r="AX47" t="str">
            <v>Watcharin</v>
          </cell>
        </row>
        <row r="48">
          <cell r="D48" t="str">
            <v>業           務</v>
          </cell>
          <cell r="G48" t="str">
            <v xml:space="preserve"> </v>
          </cell>
          <cell r="K48" t="str">
            <v xml:space="preserve"> </v>
          </cell>
          <cell r="X48">
            <v>35457</v>
          </cell>
          <cell r="AG48">
            <v>35247</v>
          </cell>
          <cell r="AW48">
            <v>35443</v>
          </cell>
        </row>
        <row r="49">
          <cell r="D49" t="str">
            <v>DR</v>
          </cell>
          <cell r="E49" t="str">
            <v>김 주 범</v>
          </cell>
          <cell r="G49" t="str">
            <v xml:space="preserve"> </v>
          </cell>
          <cell r="K49" t="str">
            <v xml:space="preserve"> </v>
          </cell>
          <cell r="P49" t="str">
            <v>保溫 / 途裝</v>
          </cell>
          <cell r="X49" t="str">
            <v>LCL</v>
          </cell>
          <cell r="Y49" t="str">
            <v>Somsak</v>
          </cell>
          <cell r="AW49" t="str">
            <v>LCL</v>
          </cell>
          <cell r="AX49" t="str">
            <v>Thanin</v>
          </cell>
        </row>
      </sheetData>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소화실적"/>
      <sheetName val="MOB-MAN1"/>
    </sheetNames>
    <sheetDataSet>
      <sheetData sheetId="0" refreshError="1"/>
      <sheetData sheetId="1"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제작_분석"/>
      <sheetName val="예량가_분석"/>
      <sheetName val="Bestpro입력"/>
      <sheetName val="보고용"/>
      <sheetName val="임율 Data"/>
      <sheetName val="Sandhill"/>
      <sheetName val="신임율적용_검토안"/>
      <sheetName val="Ship &amp; Lifting"/>
      <sheetName val="Harp_견적기준"/>
      <sheetName val="Harp_Att"/>
      <sheetName val="Harp_적용"/>
      <sheetName val="Header_견적기준"/>
      <sheetName val="Header_Att"/>
      <sheetName val="Header_적용"/>
    </sheetNames>
    <sheetDataSet>
      <sheetData sheetId="0" refreshError="1"/>
      <sheetData sheetId="1" refreshError="1"/>
      <sheetData sheetId="2" refreshError="1"/>
      <sheetData sheetId="3" refreshError="1"/>
      <sheetData sheetId="4" refreshError="1">
        <row r="1">
          <cell r="B1" t="str">
            <v>검사</v>
          </cell>
          <cell r="C1" t="str">
            <v>공정간간접비</v>
          </cell>
          <cell r="D1" t="str">
            <v>신촌공장외주</v>
          </cell>
        </row>
        <row r="2">
          <cell r="A2">
            <v>2001</v>
          </cell>
          <cell r="B2">
            <v>44165</v>
          </cell>
          <cell r="C2">
            <v>90747</v>
          </cell>
          <cell r="D2">
            <v>13468</v>
          </cell>
        </row>
        <row r="3">
          <cell r="A3">
            <v>2002</v>
          </cell>
          <cell r="B3">
            <v>45050</v>
          </cell>
          <cell r="C3">
            <v>92213</v>
          </cell>
          <cell r="D3">
            <v>13903</v>
          </cell>
        </row>
        <row r="4">
          <cell r="A4">
            <v>2003</v>
          </cell>
          <cell r="B4">
            <v>47137</v>
          </cell>
          <cell r="C4">
            <v>95793</v>
          </cell>
          <cell r="D4">
            <v>14497</v>
          </cell>
        </row>
        <row r="5">
          <cell r="A5">
            <v>2004</v>
          </cell>
          <cell r="B5">
            <v>49328</v>
          </cell>
          <cell r="C5">
            <v>99550</v>
          </cell>
          <cell r="D5">
            <v>15123</v>
          </cell>
        </row>
        <row r="6">
          <cell r="A6">
            <v>2005</v>
          </cell>
          <cell r="B6">
            <v>51627</v>
          </cell>
          <cell r="C6">
            <v>103494</v>
          </cell>
          <cell r="D6">
            <v>15777</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QPT-Z"/>
      <sheetName val="임율 Data"/>
    </sheetNames>
    <sheetDataSet>
      <sheetData sheetId="0" refreshError="1"/>
      <sheetData sheetId="1"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ontent"/>
      <sheetName val="Project Outline"/>
      <sheetName val="주요공사"/>
      <sheetName val="Contractual Amount"/>
      <sheetName val="시헹예산"/>
      <sheetName val="TENDER vs BUDGET"/>
      <sheetName val="직영 vs 하청 - 2"/>
      <sheetName val="96 당초Schedule"/>
      <sheetName val="96 Performance"/>
      <sheetName val="소화-투입 분석표"/>
      <sheetName val="STF ORG(K)"/>
      <sheetName val="Staff Org. Chart"/>
      <sheetName val="Scope of Work"/>
      <sheetName val="Design Status"/>
      <sheetName val="DWG Status"/>
      <sheetName val="MAT'L Status"/>
      <sheetName val="장비동원"/>
      <sheetName val="근로자동원"/>
      <sheetName val="Install Status"/>
      <sheetName val="Staff Mob. Plan"/>
      <sheetName val="M.P Mob. Plan"/>
      <sheetName val="Eq. Mobilization"/>
      <sheetName val="Cover_Sheet"/>
      <sheetName val="Project_Outline"/>
      <sheetName val="Contractual_Amount"/>
      <sheetName val="TENDER_vs_BUDGET"/>
      <sheetName val="직영_vs_하청_-_2"/>
      <sheetName val="96_당초Schedule"/>
      <sheetName val="96_Performance"/>
      <sheetName val="소화-투입_분석표"/>
      <sheetName val="STF_ORG(K)"/>
      <sheetName val="Staff_Org__Chart"/>
      <sheetName val="Scope_of_Work"/>
      <sheetName val="Design_Status"/>
      <sheetName val="DWG_Status"/>
      <sheetName val="MAT'L_Status"/>
      <sheetName val="Install_Status"/>
      <sheetName val="Staff_Mob__Plan"/>
      <sheetName val="M_P_Mob__Plan"/>
      <sheetName val="Eq__Mobilization"/>
      <sheetName val="M-EQPT-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04|71"/>
      <sheetName val="03-04|72"/>
      <sheetName val="03-04|74"/>
      <sheetName val="03-04|75"/>
      <sheetName val="03-04|76"/>
      <sheetName val="03-04|77"/>
      <sheetName val="03-04|79"/>
      <sheetName val="03-04|83"/>
      <sheetName val="03-04|Master"/>
      <sheetName val="04REL"/>
      <sheetName val="A 3.7"/>
      <sheetName val="CE"/>
      <sheetName val="201-04REL-Final"/>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표지"/>
      <sheetName val="Ⅰ"/>
      <sheetName val="Ⅱ"/>
      <sheetName val="Ⅲ,Ⅳ"/>
      <sheetName val="Ⅴ,Ⅵ"/>
      <sheetName val="1"/>
      <sheetName val="2"/>
      <sheetName val="3"/>
      <sheetName val="4"/>
      <sheetName val="5"/>
      <sheetName val="6"/>
      <sheetName val="7"/>
      <sheetName val="8"/>
      <sheetName val="9"/>
      <sheetName val="10"/>
      <sheetName val="11"/>
      <sheetName val="12"/>
      <sheetName val="13,14"/>
      <sheetName val="15,16"/>
      <sheetName val="17,18"/>
      <sheetName val="19,20"/>
      <sheetName val="21"/>
      <sheetName val="22,23"/>
      <sheetName val="24"/>
      <sheetName val="25"/>
      <sheetName val="26"/>
      <sheetName val="27,28"/>
      <sheetName val="29"/>
      <sheetName val="30"/>
      <sheetName val="31"/>
      <sheetName val="32_34"/>
      <sheetName val="35"/>
      <sheetName val="36,37"/>
      <sheetName val="38"/>
      <sheetName val="39,40"/>
      <sheetName val="41"/>
      <sheetName val="42,43"/>
      <sheetName val="44"/>
      <sheetName val="45,46"/>
      <sheetName val="47,48"/>
      <sheetName val="49"/>
      <sheetName val="50,51"/>
      <sheetName val="52 "/>
      <sheetName val="53,54"/>
      <sheetName val="55,56"/>
      <sheetName val="57"/>
      <sheetName val="58"/>
      <sheetName val="59"/>
      <sheetName val="60"/>
      <sheetName val="61,62"/>
      <sheetName val="63"/>
      <sheetName val="64"/>
      <sheetName val="65"/>
      <sheetName val="66"/>
      <sheetName val="67(B4)   "/>
      <sheetName val="67(A4)"/>
      <sheetName val="68"/>
      <sheetName val="69"/>
      <sheetName val="70"/>
      <sheetName val="71"/>
      <sheetName val="72"/>
      <sheetName val="73"/>
      <sheetName val="74(A4)"/>
      <sheetName val="74(B4) "/>
      <sheetName val="75"/>
      <sheetName val="76"/>
      <sheetName val="77"/>
      <sheetName val="78"/>
      <sheetName val="79"/>
      <sheetName val="80"/>
      <sheetName val="81"/>
      <sheetName val="82"/>
      <sheetName val="83"/>
      <sheetName val="84(B4)"/>
      <sheetName val="85"/>
      <sheetName val="86"/>
      <sheetName val="87"/>
      <sheetName val="88"/>
      <sheetName val="89"/>
      <sheetName val="90"/>
      <sheetName val="91"/>
      <sheetName val="92"/>
      <sheetName val="93"/>
      <sheetName val="94"/>
      <sheetName val="95"/>
      <sheetName val="96"/>
      <sheetName val="97"/>
      <sheetName val="laroux"/>
      <sheetName val="북경"/>
      <sheetName val="대만"/>
      <sheetName val="싱가포르"/>
      <sheetName val="자카르타"/>
      <sheetName val="하노이"/>
      <sheetName val="뭄바이"/>
      <sheetName val="두바이"/>
      <sheetName val="리야드"/>
      <sheetName val="프랑크푸르트"/>
      <sheetName val="토론토"/>
      <sheetName val="동경"/>
      <sheetName val="뉴저지"/>
      <sheetName val="inkor"/>
      <sheetName val="말련"/>
      <sheetName val="52_"/>
      <sheetName val="67(B4)___"/>
      <sheetName val="74(B4)_"/>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Index"/>
      <sheetName val="ARR-Summary"/>
      <sheetName val="F1"/>
      <sheetName val="F1.1"/>
      <sheetName val="F1.2"/>
      <sheetName val="F1.2 B"/>
      <sheetName val="F1.3"/>
      <sheetName val="F1.4"/>
      <sheetName val="State Grid Loss Account"/>
      <sheetName val="F1.5"/>
      <sheetName val="F2"/>
      <sheetName val="F2.1"/>
      <sheetName val="F2.2"/>
      <sheetName val="F3"/>
      <sheetName val="F3.1"/>
      <sheetName val="F3.2"/>
      <sheetName val="F 3.3"/>
      <sheetName val="F3.4"/>
      <sheetName val="F3.5"/>
      <sheetName val="F3 B O &amp; M Expenses"/>
      <sheetName val="F4"/>
      <sheetName val="F4.1"/>
      <sheetName val="F4.2"/>
      <sheetName val="F4.3"/>
      <sheetName val="F5"/>
      <sheetName val="F5.1"/>
      <sheetName val="F5.2"/>
      <sheetName val="F5 B"/>
      <sheetName val="F6"/>
      <sheetName val="F7"/>
      <sheetName val="F8"/>
      <sheetName val="F9"/>
      <sheetName val="F10"/>
      <sheetName val="F11"/>
      <sheetName val="F12"/>
      <sheetName val="F13 B"/>
      <sheetName val="F13"/>
      <sheetName val="F13.1"/>
      <sheetName val="F13.2"/>
      <sheetName val="F13.3"/>
      <sheetName val="F13.4"/>
      <sheetName val="F14.1"/>
      <sheetName val="F14.2"/>
      <sheetName val="F14.3"/>
      <sheetName val="F14.4"/>
      <sheetName val="F15"/>
      <sheetName val="F16"/>
      <sheetName val="F17"/>
      <sheetName val="F 18"/>
      <sheetName val="F19"/>
      <sheetName val="F20"/>
      <sheetName val="CSS"/>
      <sheetName val="Proposed Tariff"/>
      <sheetName val="ASSUM"/>
      <sheetName val="Cap Sum"/>
      <sheetName val="9| ESC FACTOR"/>
      <sheetName val="Tariff Schedule"/>
    </sheetNames>
    <sheetDataSet>
      <sheetData sheetId="0"/>
      <sheetData sheetId="1"/>
      <sheetData sheetId="2">
        <row r="2">
          <cell r="F2" t="str">
            <v>Mindspace Business Parks Private Limited</v>
          </cell>
        </row>
      </sheetData>
      <sheetData sheetId="3"/>
      <sheetData sheetId="4"/>
      <sheetData sheetId="5"/>
      <sheetData sheetId="6"/>
      <sheetData sheetId="7">
        <row r="55">
          <cell r="H55">
            <v>-1.3721043929978752E-3</v>
          </cell>
        </row>
      </sheetData>
      <sheetData sheetId="8">
        <row r="10">
          <cell r="B10" t="str">
            <v>Jindal Power Ltd, Dist: Raigarh, Chattisgarh through Global Energy Pvt. Ltd. (Trader)</v>
          </cell>
        </row>
        <row r="17">
          <cell r="B17" t="str">
            <v>JSW, Ratnagiri, Maharashtra through Global Energy Pvt. Ltd. (Trader)</v>
          </cell>
        </row>
      </sheetData>
      <sheetData sheetId="9">
        <row r="32">
          <cell r="E32">
            <v>3.9701363657637989E-2</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4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08917-E2A5-4F30-9CE6-8D4B18D5C33D}">
  <sheetPr>
    <pageSetUpPr fitToPage="1"/>
  </sheetPr>
  <dimension ref="B4:Q32"/>
  <sheetViews>
    <sheetView workbookViewId="0">
      <selection activeCell="H9" sqref="H9"/>
    </sheetView>
  </sheetViews>
  <sheetFormatPr defaultRowHeight="12.75"/>
  <cols>
    <col min="3" max="3" width="32.5703125" customWidth="1"/>
    <col min="4" max="11" width="7.5703125" customWidth="1"/>
    <col min="12" max="15" width="7.7109375" customWidth="1"/>
  </cols>
  <sheetData>
    <row r="4" spans="2:17" ht="18.75" customHeight="1">
      <c r="B4" s="1344" t="s">
        <v>157</v>
      </c>
      <c r="C4" s="1344" t="s">
        <v>49</v>
      </c>
      <c r="D4" s="1343" t="s">
        <v>1324</v>
      </c>
      <c r="E4" s="1343"/>
      <c r="F4" s="1343"/>
      <c r="G4" s="1343"/>
      <c r="H4" s="1343" t="s">
        <v>1325</v>
      </c>
      <c r="I4" s="1343"/>
      <c r="J4" s="1343"/>
      <c r="K4" s="1343"/>
    </row>
    <row r="5" spans="2:17" ht="18.75" customHeight="1">
      <c r="B5" s="1345"/>
      <c r="C5" s="1345"/>
      <c r="D5" s="1278" t="s">
        <v>1044</v>
      </c>
      <c r="E5" s="1278" t="s">
        <v>1321</v>
      </c>
      <c r="F5" s="1278" t="s">
        <v>1322</v>
      </c>
      <c r="G5" s="1278" t="s">
        <v>1323</v>
      </c>
      <c r="H5" s="1278" t="s">
        <v>1044</v>
      </c>
      <c r="I5" s="1278" t="s">
        <v>1321</v>
      </c>
      <c r="J5" s="1278" t="s">
        <v>1322</v>
      </c>
      <c r="K5" s="1278" t="s">
        <v>1323</v>
      </c>
    </row>
    <row r="6" spans="2:17" s="1229" customFormat="1" ht="18.75" customHeight="1">
      <c r="B6" s="1281">
        <v>1</v>
      </c>
      <c r="C6" s="1280" t="s">
        <v>496</v>
      </c>
      <c r="D6" s="1279">
        <v>82.88</v>
      </c>
      <c r="E6" s="1289">
        <v>83.65</v>
      </c>
      <c r="F6" s="1289">
        <v>94.09</v>
      </c>
      <c r="G6" s="1289">
        <v>94.97</v>
      </c>
      <c r="H6" s="1282">
        <f>+'F1'!D45</f>
        <v>82.883218740000004</v>
      </c>
      <c r="I6" s="1290">
        <f>+'F1'!I45</f>
        <v>83.407231940000003</v>
      </c>
      <c r="J6" s="1290">
        <f>+'F1'!L45</f>
        <v>92.841304259400019</v>
      </c>
      <c r="K6" s="1290">
        <f>+'F1'!N45</f>
        <v>94.719717301993995</v>
      </c>
    </row>
    <row r="7" spans="2:17" s="1229" customFormat="1" ht="18.75" customHeight="1">
      <c r="B7" s="1281">
        <f>+B6+1</f>
        <v>2</v>
      </c>
      <c r="C7" s="1280" t="s">
        <v>1326</v>
      </c>
      <c r="D7" s="1283">
        <v>8.0000000000000002E-3</v>
      </c>
      <c r="E7" s="1283">
        <v>8.0000000000000002E-3</v>
      </c>
      <c r="F7" s="1283">
        <v>8.0000000000000002E-3</v>
      </c>
      <c r="G7" s="1283">
        <v>8.0000000000000002E-3</v>
      </c>
      <c r="H7" s="1283">
        <f>+'F1.3'!J18</f>
        <v>8.0293038881395599E-3</v>
      </c>
      <c r="I7" s="1283">
        <f>+'F1.3'!J24</f>
        <v>9.1046130853378107E-3</v>
      </c>
      <c r="J7" s="1283">
        <f>+'F1.3'!J31</f>
        <v>9.1046130853378107E-3</v>
      </c>
      <c r="K7" s="1283">
        <f>+'F1.3'!J37</f>
        <v>9.1046130853378107E-3</v>
      </c>
    </row>
    <row r="8" spans="2:17" s="1229" customFormat="1" ht="18.75" customHeight="1">
      <c r="B8" s="1281">
        <f t="shared" ref="B8:B17" si="0">+B7+1</f>
        <v>3</v>
      </c>
      <c r="C8" s="1280" t="s">
        <v>1327</v>
      </c>
      <c r="D8" s="1282">
        <v>86.7</v>
      </c>
      <c r="E8" s="1282">
        <v>87.5</v>
      </c>
      <c r="F8" s="1282">
        <v>98.72</v>
      </c>
      <c r="G8" s="1282">
        <v>99.64</v>
      </c>
      <c r="H8" s="1282">
        <f>+'F1.4'!G26</f>
        <v>86.697447724442071</v>
      </c>
      <c r="I8" s="1284">
        <f>+'F1.4'!I26</f>
        <v>87.047991902330068</v>
      </c>
      <c r="J8" s="1282">
        <f>+'F1.4'!K26</f>
        <v>97.517022388598647</v>
      </c>
      <c r="K8" s="1282">
        <f>+'F1.4'!M26</f>
        <v>99.490036966440812</v>
      </c>
    </row>
    <row r="9" spans="2:17" s="1229" customFormat="1" ht="18.75" customHeight="1">
      <c r="B9" s="1281">
        <f t="shared" si="0"/>
        <v>4</v>
      </c>
      <c r="C9" s="1280" t="s">
        <v>1328</v>
      </c>
      <c r="D9" s="1282">
        <v>3.97</v>
      </c>
      <c r="E9" s="1282">
        <v>4.09</v>
      </c>
      <c r="F9" s="1282">
        <v>4.22</v>
      </c>
      <c r="G9" s="1282">
        <v>4.28</v>
      </c>
      <c r="H9" s="1282">
        <f>+'F2'!$R72</f>
        <v>3.9670207663026495</v>
      </c>
      <c r="I9" s="1282">
        <f>+'F2'!$R105</f>
        <v>3.8488326074969264</v>
      </c>
      <c r="J9" s="1282">
        <f>+'F2'!$R137</f>
        <v>4.2291044486737421</v>
      </c>
      <c r="K9" s="1282">
        <f>+'F2'!$R169</f>
        <v>4.2828232711944949</v>
      </c>
    </row>
    <row r="10" spans="2:17" s="1229" customFormat="1" ht="18.75" customHeight="1">
      <c r="B10" s="1281">
        <f t="shared" si="0"/>
        <v>5</v>
      </c>
      <c r="C10" s="1280" t="s">
        <v>1329</v>
      </c>
      <c r="D10" s="1282">
        <v>50.8</v>
      </c>
      <c r="E10" s="1282">
        <v>53.03</v>
      </c>
      <c r="F10" s="1282">
        <v>60.01</v>
      </c>
      <c r="G10" s="1282">
        <v>71.14</v>
      </c>
      <c r="H10" s="1282">
        <f ca="1">+'ARR-Summary'!I78</f>
        <v>50.79639925808948</v>
      </c>
      <c r="I10" s="1282">
        <f>+'ARR-Summary'!N78</f>
        <v>50.739208712214094</v>
      </c>
      <c r="J10" s="1282">
        <f ca="1">+'ARR-Summary'!Q78</f>
        <v>59.504782371881902</v>
      </c>
      <c r="K10" s="1282">
        <f>+'ARR-Summary'!S78</f>
        <v>69.113095109099163</v>
      </c>
    </row>
    <row r="11" spans="2:17" s="1229" customFormat="1" ht="18.75" customHeight="1">
      <c r="B11" s="1281">
        <f t="shared" si="0"/>
        <v>6</v>
      </c>
      <c r="C11" s="1280" t="s">
        <v>1330</v>
      </c>
      <c r="D11" s="1282">
        <v>52.96</v>
      </c>
      <c r="E11" s="1282">
        <v>44.95</v>
      </c>
      <c r="F11" s="1282">
        <v>51.07</v>
      </c>
      <c r="G11" s="1282">
        <v>52.41</v>
      </c>
      <c r="H11" s="1282">
        <f>+'ARR-Summary'!I79</f>
        <v>52.960947008639991</v>
      </c>
      <c r="I11" s="1282">
        <f>+'ARR-Summary'!N79</f>
        <v>44.741646509079999</v>
      </c>
      <c r="J11" s="1282">
        <f>+'ARR-Summary'!Q79</f>
        <v>52.56714968791389</v>
      </c>
      <c r="K11" s="1282">
        <f>+'ARR-Summary'!S79</f>
        <v>54.420187093260552</v>
      </c>
    </row>
    <row r="12" spans="2:17" s="1229" customFormat="1" ht="18.75" customHeight="1">
      <c r="B12" s="1281">
        <f t="shared" si="0"/>
        <v>7</v>
      </c>
      <c r="C12" s="1280" t="s">
        <v>1331</v>
      </c>
      <c r="D12" s="1285">
        <f t="shared" ref="D12:G12" si="1">+D10-D11</f>
        <v>-2.1600000000000037</v>
      </c>
      <c r="E12" s="1288">
        <f t="shared" si="1"/>
        <v>8.0799999999999983</v>
      </c>
      <c r="F12" s="1287">
        <f t="shared" si="1"/>
        <v>8.9399999999999977</v>
      </c>
      <c r="G12" s="1287">
        <f t="shared" si="1"/>
        <v>18.730000000000004</v>
      </c>
      <c r="H12" s="1285">
        <f ca="1">+H10-H11</f>
        <v>-2.1645477505505113</v>
      </c>
      <c r="I12" s="1287">
        <f t="shared" ref="I12:K12" si="2">+I10-I11</f>
        <v>5.9975622031340947</v>
      </c>
      <c r="J12" s="1287">
        <f t="shared" ca="1" si="2"/>
        <v>6.9376326839680118</v>
      </c>
      <c r="K12" s="1287">
        <f t="shared" si="2"/>
        <v>14.692908015838611</v>
      </c>
    </row>
    <row r="13" spans="2:17" s="1229" customFormat="1" ht="18.75" customHeight="1">
      <c r="B13" s="1281">
        <f t="shared" si="0"/>
        <v>8</v>
      </c>
      <c r="C13" s="1280" t="s">
        <v>1334</v>
      </c>
      <c r="D13" s="1279"/>
      <c r="E13" s="1279"/>
      <c r="F13" s="1279">
        <v>60.01</v>
      </c>
      <c r="G13" s="1279">
        <v>71.14</v>
      </c>
      <c r="H13" s="1285"/>
      <c r="I13" s="1285"/>
      <c r="J13" s="1285">
        <f ca="1">+'ARR-Summary'!Q84</f>
        <v>62.056044462738193</v>
      </c>
      <c r="K13" s="1285">
        <f>+'ARR-Summary'!S84</f>
        <v>69.113095109099163</v>
      </c>
    </row>
    <row r="14" spans="2:17" s="1229" customFormat="1" ht="18.75" customHeight="1">
      <c r="B14" s="1281">
        <f t="shared" si="0"/>
        <v>9</v>
      </c>
      <c r="C14" s="1280" t="s">
        <v>1124</v>
      </c>
      <c r="D14" s="1279"/>
      <c r="E14" s="1279"/>
      <c r="F14" s="1279">
        <v>1.33</v>
      </c>
      <c r="G14" s="1279">
        <v>1.35</v>
      </c>
      <c r="H14" s="1285"/>
      <c r="I14" s="1285"/>
      <c r="J14" s="1285">
        <f ca="1">+'ARR-Summary'!Q87</f>
        <v>1.3385446192075825</v>
      </c>
      <c r="K14" s="1285">
        <f>+'ARR-Summary'!S87</f>
        <v>1.3565161708151909</v>
      </c>
      <c r="M14" s="1296"/>
      <c r="Q14" s="1297"/>
    </row>
    <row r="15" spans="2:17" s="1229" customFormat="1" ht="18.75" customHeight="1">
      <c r="B15" s="1281">
        <f t="shared" si="0"/>
        <v>10</v>
      </c>
      <c r="C15" s="1280" t="s">
        <v>1335</v>
      </c>
      <c r="D15" s="1279"/>
      <c r="E15" s="1279"/>
      <c r="F15" s="1279">
        <v>5.05</v>
      </c>
      <c r="G15" s="1279">
        <v>6.14</v>
      </c>
      <c r="H15" s="1285"/>
      <c r="I15" s="1285"/>
      <c r="J15" s="1285">
        <f ca="1">+'ARR-Summary'!Q88</f>
        <v>5.3455541187154285</v>
      </c>
      <c r="K15" s="1285">
        <f>+'ARR-Summary'!S88</f>
        <v>5.9400739244388436</v>
      </c>
      <c r="M15" s="1296"/>
      <c r="Q15" s="1229">
        <v>5000</v>
      </c>
    </row>
    <row r="16" spans="2:17" s="1286" customFormat="1" ht="18.75" customHeight="1">
      <c r="B16" s="1281">
        <f t="shared" si="0"/>
        <v>11</v>
      </c>
      <c r="C16" s="1280" t="s">
        <v>1332</v>
      </c>
      <c r="D16" s="1279"/>
      <c r="E16" s="1279"/>
      <c r="F16" s="1279">
        <v>6.38</v>
      </c>
      <c r="G16" s="1279">
        <v>7.49</v>
      </c>
      <c r="H16" s="1279"/>
      <c r="I16" s="1279"/>
      <c r="J16" s="1285">
        <f ca="1">+'ARR-Summary'!Q89</f>
        <v>6.6840987379230112</v>
      </c>
      <c r="K16" s="1285">
        <f>+'ARR-Summary'!S89</f>
        <v>7.296590095254035</v>
      </c>
      <c r="Q16" s="1286">
        <f>+Q15*3.92%</f>
        <v>196</v>
      </c>
    </row>
    <row r="17" spans="2:17" s="1229" customFormat="1" ht="18.75" customHeight="1">
      <c r="B17" s="1281">
        <f t="shared" si="0"/>
        <v>12</v>
      </c>
      <c r="C17" s="1280" t="s">
        <v>1333</v>
      </c>
      <c r="D17" s="1279"/>
      <c r="E17" s="1279"/>
      <c r="F17" s="1283">
        <v>0.17530000000000001</v>
      </c>
      <c r="G17" s="1283">
        <v>0.1744</v>
      </c>
      <c r="H17" s="1279"/>
      <c r="I17" s="1279"/>
      <c r="J17" s="1283">
        <f ca="1">+'ARR-Summary'!Q93</f>
        <v>0.18050997307556083</v>
      </c>
      <c r="K17" s="1283">
        <f ca="1">+'ARR-Summary'!S93</f>
        <v>9.1634097781348345E-2</v>
      </c>
      <c r="Q17" s="1229">
        <f>+Q15-Q16</f>
        <v>4804</v>
      </c>
    </row>
    <row r="18" spans="2:17">
      <c r="Q18">
        <f>+Q17/10</f>
        <v>480.4</v>
      </c>
    </row>
    <row r="20" spans="2:17" s="1229" customFormat="1" ht="17.25" customHeight="1">
      <c r="B20" s="1343" t="s">
        <v>157</v>
      </c>
      <c r="C20" s="1343" t="s">
        <v>400</v>
      </c>
      <c r="D20" s="1343" t="s">
        <v>1324</v>
      </c>
      <c r="E20" s="1343"/>
      <c r="F20" s="1343"/>
      <c r="G20" s="1343"/>
      <c r="H20" s="1343"/>
      <c r="I20" s="1343"/>
      <c r="J20" s="1343" t="s">
        <v>1325</v>
      </c>
      <c r="K20" s="1343"/>
      <c r="L20" s="1343"/>
      <c r="M20" s="1343"/>
      <c r="N20" s="1343"/>
      <c r="O20" s="1343"/>
    </row>
    <row r="21" spans="2:17" s="1229" customFormat="1" ht="17.25" customHeight="1">
      <c r="B21" s="1343"/>
      <c r="C21" s="1343"/>
      <c r="D21" s="1343" t="s">
        <v>148</v>
      </c>
      <c r="E21" s="1343"/>
      <c r="F21" s="1343"/>
      <c r="G21" s="1343" t="s">
        <v>1251</v>
      </c>
      <c r="H21" s="1343"/>
      <c r="I21" s="1343"/>
      <c r="J21" s="1343" t="s">
        <v>148</v>
      </c>
      <c r="K21" s="1343"/>
      <c r="L21" s="1343"/>
      <c r="M21" s="1343" t="s">
        <v>1251</v>
      </c>
      <c r="N21" s="1343"/>
      <c r="O21" s="1343"/>
    </row>
    <row r="22" spans="2:17" s="1229" customFormat="1" ht="17.25" customHeight="1">
      <c r="B22" s="1343"/>
      <c r="C22" s="1343"/>
      <c r="D22" s="1277" t="s">
        <v>1338</v>
      </c>
      <c r="E22" s="1277" t="s">
        <v>1336</v>
      </c>
      <c r="F22" s="1277" t="s">
        <v>1337</v>
      </c>
      <c r="G22" s="1277" t="s">
        <v>1338</v>
      </c>
      <c r="H22" s="1277" t="s">
        <v>1336</v>
      </c>
      <c r="I22" s="1277" t="s">
        <v>1337</v>
      </c>
      <c r="J22" s="1277" t="s">
        <v>1338</v>
      </c>
      <c r="K22" s="1277" t="s">
        <v>1336</v>
      </c>
      <c r="L22" s="1277" t="s">
        <v>1337</v>
      </c>
      <c r="M22" s="1277" t="s">
        <v>1338</v>
      </c>
      <c r="N22" s="1277" t="s">
        <v>1336</v>
      </c>
      <c r="O22" s="1277" t="s">
        <v>1337</v>
      </c>
    </row>
    <row r="23" spans="2:17" s="1229" customFormat="1" ht="17.25" customHeight="1">
      <c r="B23" s="1279"/>
      <c r="C23" s="1227" t="s">
        <v>267</v>
      </c>
      <c r="D23" s="1279"/>
      <c r="E23" s="1279"/>
      <c r="F23" s="1279"/>
      <c r="G23" s="1279"/>
      <c r="H23" s="1279"/>
      <c r="I23" s="1279"/>
      <c r="J23" s="1279"/>
      <c r="K23" s="1279"/>
      <c r="L23" s="1279"/>
      <c r="M23" s="1279"/>
      <c r="N23" s="1279"/>
      <c r="O23" s="1279"/>
    </row>
    <row r="24" spans="2:17" s="1229" customFormat="1" ht="17.25" customHeight="1">
      <c r="B24" s="1281">
        <v>1</v>
      </c>
      <c r="C24" s="1279" t="s">
        <v>776</v>
      </c>
      <c r="D24" s="1282">
        <v>270</v>
      </c>
      <c r="E24" s="1282">
        <v>1.3302434557173248</v>
      </c>
      <c r="F24" s="1282">
        <v>4.6499999999999995</v>
      </c>
      <c r="G24" s="1282">
        <v>290</v>
      </c>
      <c r="H24" s="1282">
        <v>1.35</v>
      </c>
      <c r="I24" s="1282">
        <v>5.68</v>
      </c>
      <c r="J24" s="1282">
        <f>+'F14.1'!E14</f>
        <v>270</v>
      </c>
      <c r="K24" s="1282">
        <f ca="1">+'F14.1'!F14</f>
        <v>1.3385446192075825</v>
      </c>
      <c r="L24" s="1282">
        <f>+'F14.1'!G14</f>
        <v>4.3199999999999994</v>
      </c>
      <c r="M24" s="1282">
        <f>+'F14.2'!E14</f>
        <v>290</v>
      </c>
      <c r="N24" s="1282">
        <f>+'F14.2'!F14</f>
        <v>1.3565161708151909</v>
      </c>
      <c r="O24" s="1282">
        <f>+'F14.2'!G14</f>
        <v>5.1199999999999992</v>
      </c>
    </row>
    <row r="25" spans="2:17" s="1229" customFormat="1" ht="17.25" customHeight="1">
      <c r="B25" s="1281">
        <v>2</v>
      </c>
      <c r="C25" s="1279" t="s">
        <v>850</v>
      </c>
      <c r="D25" s="1282">
        <v>270</v>
      </c>
      <c r="E25" s="1282">
        <v>1.3302434557173248</v>
      </c>
      <c r="F25" s="1282">
        <v>4.5999999999999996</v>
      </c>
      <c r="G25" s="1282">
        <v>290</v>
      </c>
      <c r="H25" s="1282">
        <v>1.35</v>
      </c>
      <c r="I25" s="1282">
        <v>5.65</v>
      </c>
      <c r="J25" s="1282">
        <f>+'F14.1'!E20</f>
        <v>270</v>
      </c>
      <c r="K25" s="1282">
        <f ca="1">+'F14.1'!F20</f>
        <v>1.3385446192075825</v>
      </c>
      <c r="L25" s="1282">
        <f>+'F14.1'!G20</f>
        <v>4.5</v>
      </c>
      <c r="M25" s="1282">
        <f>+'F14.2'!E20</f>
        <v>290</v>
      </c>
      <c r="N25" s="1282">
        <f>+'F14.2'!F20</f>
        <v>1.3565161708151909</v>
      </c>
      <c r="O25" s="1282">
        <f>+'F14.2'!G20</f>
        <v>5.45</v>
      </c>
    </row>
    <row r="26" spans="2:17" s="1229" customFormat="1" ht="17.25" customHeight="1">
      <c r="B26" s="1281"/>
      <c r="C26" s="1279"/>
      <c r="D26" s="1282"/>
      <c r="E26" s="1282"/>
      <c r="F26" s="1282"/>
      <c r="G26" s="1282"/>
      <c r="H26" s="1282"/>
      <c r="I26" s="1282"/>
      <c r="J26" s="1282"/>
      <c r="K26" s="1282"/>
      <c r="L26" s="1282"/>
      <c r="M26" s="1282"/>
      <c r="N26" s="1282"/>
      <c r="O26" s="1282"/>
    </row>
    <row r="27" spans="2:17" s="1229" customFormat="1" ht="17.25" customHeight="1">
      <c r="B27" s="1281"/>
      <c r="C27" s="1227" t="s">
        <v>270</v>
      </c>
      <c r="D27" s="1282"/>
      <c r="E27" s="1282"/>
      <c r="F27" s="1282"/>
      <c r="G27" s="1282"/>
      <c r="H27" s="1282"/>
      <c r="I27" s="1282"/>
      <c r="J27" s="1282"/>
      <c r="K27" s="1282"/>
      <c r="L27" s="1282"/>
      <c r="M27" s="1282"/>
      <c r="N27" s="1282"/>
      <c r="O27" s="1282"/>
    </row>
    <row r="28" spans="2:17" s="1229" customFormat="1" ht="17.25" customHeight="1">
      <c r="B28" s="1281">
        <v>3</v>
      </c>
      <c r="C28" s="1279" t="s">
        <v>787</v>
      </c>
      <c r="D28" s="1282">
        <v>270</v>
      </c>
      <c r="E28" s="1282">
        <v>1.3302434557173248</v>
      </c>
      <c r="F28" s="1282">
        <v>4.8499999999999996</v>
      </c>
      <c r="G28" s="1282">
        <v>290</v>
      </c>
      <c r="H28" s="1282">
        <v>1.35</v>
      </c>
      <c r="I28" s="1282">
        <v>5.95</v>
      </c>
      <c r="J28" s="1282">
        <f>+'F14.1'!D29</f>
        <v>270</v>
      </c>
      <c r="K28" s="1282">
        <f ca="1">+'F14.1'!F29</f>
        <v>1.3385446192075825</v>
      </c>
      <c r="L28" s="1282">
        <f>+'F14.1'!G29</f>
        <v>4.8499999999999996</v>
      </c>
      <c r="M28" s="1282">
        <f>+'F14.2'!D29</f>
        <v>290</v>
      </c>
      <c r="N28" s="1282">
        <f>+'F14.2'!F29</f>
        <v>1.3565161708151909</v>
      </c>
      <c r="O28" s="1282">
        <f>+'F14.2'!G29</f>
        <v>5.85</v>
      </c>
    </row>
    <row r="29" spans="2:17" s="1229" customFormat="1" ht="17.25" customHeight="1">
      <c r="B29" s="1281">
        <v>4</v>
      </c>
      <c r="C29" s="1279" t="s">
        <v>777</v>
      </c>
      <c r="D29" s="1282">
        <v>270</v>
      </c>
      <c r="E29" s="1282">
        <v>1.3302434557173248</v>
      </c>
      <c r="F29" s="1282">
        <v>4.8499999999999996</v>
      </c>
      <c r="G29" s="1282">
        <v>290</v>
      </c>
      <c r="H29" s="1282">
        <v>1.35</v>
      </c>
      <c r="I29" s="1282">
        <v>5.95</v>
      </c>
      <c r="J29" s="1282">
        <f>+'F14.1'!D30</f>
        <v>270</v>
      </c>
      <c r="K29" s="1282">
        <f ca="1">+'F14.1'!F30</f>
        <v>1.3385446192075825</v>
      </c>
      <c r="L29" s="1282">
        <f>+'F14.1'!G30</f>
        <v>4.8999999999999995</v>
      </c>
      <c r="M29" s="1282">
        <f>+'F14.2'!D30</f>
        <v>290</v>
      </c>
      <c r="N29" s="1282">
        <f>+'F14.2'!F30</f>
        <v>1.3565161708151909</v>
      </c>
      <c r="O29" s="1282">
        <f>+'F14.2'!G30</f>
        <v>5.8</v>
      </c>
    </row>
    <row r="30" spans="2:17" s="1229" customFormat="1" ht="17.25" customHeight="1">
      <c r="B30" s="1281">
        <v>5</v>
      </c>
      <c r="C30" s="1279" t="s">
        <v>778</v>
      </c>
      <c r="D30" s="1282">
        <v>270</v>
      </c>
      <c r="E30" s="1282">
        <v>1.3302434557173248</v>
      </c>
      <c r="F30" s="1282">
        <v>4.7</v>
      </c>
      <c r="G30" s="1282">
        <v>290</v>
      </c>
      <c r="H30" s="1282">
        <v>1.35</v>
      </c>
      <c r="I30" s="1282">
        <v>5.7</v>
      </c>
      <c r="J30" s="1282">
        <f>+'F14.1'!E31</f>
        <v>270</v>
      </c>
      <c r="K30" s="1282">
        <f ca="1">+'F14.1'!F31</f>
        <v>1.3385446192075825</v>
      </c>
      <c r="L30" s="1282">
        <f>+'F14.1'!G31</f>
        <v>4.55</v>
      </c>
      <c r="M30" s="1282">
        <f>+'F14.2'!E31</f>
        <v>290</v>
      </c>
      <c r="N30" s="1282">
        <f>+'F14.2'!F31</f>
        <v>1.3565161708151909</v>
      </c>
      <c r="O30" s="1282">
        <f>+'F14.2'!G31</f>
        <v>5.35</v>
      </c>
    </row>
    <row r="31" spans="2:17" s="1229" customFormat="1" ht="17.25" customHeight="1">
      <c r="B31" s="1281">
        <v>6</v>
      </c>
      <c r="C31" s="1279" t="s">
        <v>779</v>
      </c>
      <c r="D31" s="1282">
        <v>270</v>
      </c>
      <c r="E31" s="1282">
        <v>1.3302434557173248</v>
      </c>
      <c r="F31" s="1282">
        <v>4.6500000000000004</v>
      </c>
      <c r="G31" s="1282">
        <v>290</v>
      </c>
      <c r="H31" s="1282">
        <v>1.35</v>
      </c>
      <c r="I31" s="1282">
        <v>5.7</v>
      </c>
      <c r="J31" s="1282">
        <f>+'F14.1'!D37</f>
        <v>270</v>
      </c>
      <c r="K31" s="1282">
        <f ca="1">+'F14.1'!F37</f>
        <v>1.3385446192075825</v>
      </c>
      <c r="L31" s="1282">
        <f>+'F14.1'!G37</f>
        <v>4.55</v>
      </c>
      <c r="M31" s="1282">
        <f>+'F14.2'!D37</f>
        <v>290</v>
      </c>
      <c r="N31" s="1282">
        <f>+'F14.2'!F37</f>
        <v>1.3565161708151909</v>
      </c>
      <c r="O31" s="1282">
        <f>+'F14.2'!G37</f>
        <v>5.3999999999999995</v>
      </c>
    </row>
    <row r="32" spans="2:17" s="1229" customFormat="1" ht="17.25" customHeight="1">
      <c r="B32" s="1281">
        <v>7</v>
      </c>
      <c r="C32" s="1279" t="s">
        <v>780</v>
      </c>
      <c r="D32" s="1282">
        <v>270</v>
      </c>
      <c r="E32" s="1282">
        <v>1.3302434557173248</v>
      </c>
      <c r="F32" s="1282">
        <v>4.9000000000000004</v>
      </c>
      <c r="G32" s="1282">
        <v>290</v>
      </c>
      <c r="H32" s="1282">
        <v>1.35</v>
      </c>
      <c r="I32" s="1282">
        <v>5.95</v>
      </c>
      <c r="J32" s="1282">
        <f>+'F14.1'!E38</f>
        <v>270</v>
      </c>
      <c r="K32" s="1282">
        <f ca="1">+'F14.1'!F38</f>
        <v>1.3385446192075825</v>
      </c>
      <c r="L32" s="1282">
        <f>+'F14.1'!G38</f>
        <v>4.55</v>
      </c>
      <c r="M32" s="1282">
        <f>+'F14.2'!E38</f>
        <v>290</v>
      </c>
      <c r="N32" s="1282">
        <f>+'F14.2'!F38</f>
        <v>1.3565161708151909</v>
      </c>
      <c r="O32" s="1282">
        <f>+'F14.2'!G38</f>
        <v>5.35</v>
      </c>
    </row>
  </sheetData>
  <mergeCells count="12">
    <mergeCell ref="J20:O20"/>
    <mergeCell ref="B20:B22"/>
    <mergeCell ref="C20:C22"/>
    <mergeCell ref="D20:I20"/>
    <mergeCell ref="D4:G4"/>
    <mergeCell ref="H4:K4"/>
    <mergeCell ref="B4:B5"/>
    <mergeCell ref="C4:C5"/>
    <mergeCell ref="D21:F21"/>
    <mergeCell ref="G21:I21"/>
    <mergeCell ref="J21:L21"/>
    <mergeCell ref="M21:O21"/>
  </mergeCells>
  <pageMargins left="0.7" right="0.7" top="0.75" bottom="0.75" header="0.3" footer="0.3"/>
  <pageSetup paperSize="9" scale="9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2:U169"/>
  <sheetViews>
    <sheetView showGridLines="0" view="pageBreakPreview" topLeftCell="A112" zoomScale="60" zoomScaleNormal="60" workbookViewId="0">
      <selection activeCell="C11" sqref="C11:C12"/>
    </sheetView>
  </sheetViews>
  <sheetFormatPr defaultColWidth="8.85546875" defaultRowHeight="15"/>
  <cols>
    <col min="1" max="1" width="6.7109375" style="171" customWidth="1"/>
    <col min="2" max="2" width="34.140625" style="171" customWidth="1"/>
    <col min="3" max="5" width="12.7109375" style="171" customWidth="1"/>
    <col min="6" max="6" width="17.42578125" style="171" customWidth="1"/>
    <col min="7" max="11" width="12.7109375" style="171" customWidth="1"/>
    <col min="12" max="12" width="17.42578125" style="171" customWidth="1"/>
    <col min="13" max="13" width="15.5703125" style="171" customWidth="1"/>
    <col min="14" max="18" width="17.42578125" style="171" customWidth="1"/>
    <col min="19" max="16384" width="8.85546875" style="171"/>
  </cols>
  <sheetData>
    <row r="2" spans="1:21">
      <c r="B2" s="87"/>
      <c r="C2" s="87"/>
      <c r="D2" s="87"/>
      <c r="E2" s="87"/>
      <c r="G2" s="87"/>
      <c r="H2" s="87"/>
      <c r="I2" s="375" t="s">
        <v>906</v>
      </c>
      <c r="J2" s="87"/>
      <c r="L2" s="87"/>
    </row>
    <row r="3" spans="1:21">
      <c r="B3" s="87"/>
      <c r="C3" s="87"/>
      <c r="D3" s="87"/>
      <c r="E3" s="87"/>
      <c r="G3" s="87"/>
      <c r="H3" s="87"/>
      <c r="I3" s="373" t="s">
        <v>723</v>
      </c>
      <c r="J3" s="87"/>
      <c r="L3" s="87"/>
    </row>
    <row r="4" spans="1:21">
      <c r="B4" s="87"/>
      <c r="C4" s="87"/>
      <c r="D4" s="87"/>
      <c r="E4" s="87"/>
      <c r="G4" s="87"/>
      <c r="H4" s="87"/>
      <c r="I4" s="321" t="s">
        <v>582</v>
      </c>
      <c r="J4" s="87"/>
      <c r="L4" s="87"/>
    </row>
    <row r="5" spans="1:21">
      <c r="B5" s="1400" t="s">
        <v>258</v>
      </c>
      <c r="C5" s="1400"/>
    </row>
    <row r="7" spans="1:21">
      <c r="B7" s="268" t="s">
        <v>748</v>
      </c>
      <c r="C7" s="268"/>
    </row>
    <row r="9" spans="1:21" s="200" customFormat="1" ht="85.5">
      <c r="A9" s="201" t="s">
        <v>157</v>
      </c>
      <c r="B9" s="201" t="s">
        <v>235</v>
      </c>
      <c r="C9" s="201" t="s">
        <v>286</v>
      </c>
      <c r="D9" s="201" t="s">
        <v>236</v>
      </c>
      <c r="E9" s="201" t="s">
        <v>237</v>
      </c>
      <c r="F9" s="202" t="s">
        <v>238</v>
      </c>
      <c r="G9" s="202" t="s">
        <v>862</v>
      </c>
      <c r="H9" s="202">
        <f>+(18314494/10^7)+(0.34*9)</f>
        <v>4.8914493999999999</v>
      </c>
      <c r="I9" s="202" t="s">
        <v>853</v>
      </c>
      <c r="J9" s="202" t="s">
        <v>854</v>
      </c>
      <c r="K9" s="202" t="s">
        <v>240</v>
      </c>
      <c r="L9" s="202" t="s">
        <v>241</v>
      </c>
      <c r="M9" s="202" t="s">
        <v>289</v>
      </c>
      <c r="N9" s="202" t="s">
        <v>242</v>
      </c>
      <c r="O9" s="202" t="s">
        <v>855</v>
      </c>
      <c r="P9" s="202" t="s">
        <v>244</v>
      </c>
      <c r="Q9" s="202" t="s">
        <v>442</v>
      </c>
      <c r="R9" s="202" t="s">
        <v>443</v>
      </c>
    </row>
    <row r="10" spans="1:21">
      <c r="A10" s="203">
        <v>1</v>
      </c>
      <c r="B10" s="203">
        <v>2</v>
      </c>
      <c r="C10" s="203">
        <v>3</v>
      </c>
      <c r="D10" s="203">
        <v>4</v>
      </c>
      <c r="E10" s="203">
        <v>5</v>
      </c>
      <c r="F10" s="203">
        <v>6</v>
      </c>
      <c r="G10" s="203">
        <v>7</v>
      </c>
      <c r="H10" s="203">
        <v>8</v>
      </c>
      <c r="I10" s="203">
        <v>9</v>
      </c>
      <c r="J10" s="203">
        <v>10</v>
      </c>
      <c r="K10" s="203">
        <v>11</v>
      </c>
      <c r="L10" s="203">
        <v>12</v>
      </c>
      <c r="M10" s="203">
        <v>13</v>
      </c>
      <c r="N10" s="203">
        <v>14</v>
      </c>
      <c r="O10" s="203">
        <v>15</v>
      </c>
      <c r="P10" s="203">
        <v>16</v>
      </c>
      <c r="Q10" s="203">
        <v>17</v>
      </c>
      <c r="R10" s="203">
        <v>18</v>
      </c>
    </row>
    <row r="11" spans="1:21" ht="30">
      <c r="A11" s="68"/>
      <c r="B11" s="514" t="s">
        <v>290</v>
      </c>
      <c r="C11" s="515" t="s">
        <v>822</v>
      </c>
      <c r="D11" s="515"/>
      <c r="E11" s="515"/>
      <c r="F11" s="516"/>
      <c r="G11" s="529"/>
      <c r="H11" s="529"/>
      <c r="I11" s="529"/>
      <c r="J11" s="529"/>
      <c r="K11" s="529"/>
      <c r="L11" s="529"/>
      <c r="M11" s="530"/>
      <c r="N11" s="530"/>
      <c r="O11" s="529"/>
      <c r="P11" s="529"/>
      <c r="Q11" s="529"/>
      <c r="R11" s="531"/>
      <c r="U11" s="512"/>
    </row>
    <row r="12" spans="1:21" ht="18.75">
      <c r="A12" s="4"/>
      <c r="B12" s="514" t="s">
        <v>291</v>
      </c>
      <c r="C12" s="88"/>
      <c r="D12" s="88"/>
      <c r="E12" s="88"/>
      <c r="F12" s="88"/>
      <c r="G12" s="529"/>
      <c r="H12" s="529"/>
      <c r="I12" s="529"/>
      <c r="J12" s="529"/>
      <c r="K12" s="529"/>
      <c r="L12" s="529"/>
      <c r="M12" s="530"/>
      <c r="N12" s="530"/>
      <c r="O12" s="529"/>
      <c r="P12" s="529"/>
      <c r="Q12" s="529"/>
      <c r="R12" s="531"/>
      <c r="U12" s="512"/>
    </row>
    <row r="13" spans="1:21" ht="45">
      <c r="A13" s="1204">
        <v>1</v>
      </c>
      <c r="B13" s="518" t="s">
        <v>856</v>
      </c>
      <c r="C13" s="517"/>
      <c r="D13" s="517"/>
      <c r="E13" s="1401">
        <v>12</v>
      </c>
      <c r="F13" s="519"/>
      <c r="G13" s="814"/>
      <c r="H13" s="520"/>
      <c r="I13" s="815"/>
      <c r="J13" s="814">
        <v>18.449000000000002</v>
      </c>
      <c r="K13" s="814">
        <v>0</v>
      </c>
      <c r="L13" s="814">
        <v>0</v>
      </c>
      <c r="M13" s="521" t="s">
        <v>857</v>
      </c>
      <c r="N13" s="519"/>
      <c r="O13" s="519"/>
      <c r="P13" s="519">
        <v>0</v>
      </c>
      <c r="Q13" s="519">
        <v>7.535749</v>
      </c>
      <c r="R13" s="522">
        <f>(Q13/J13)*10</f>
        <v>4.0846381917719112</v>
      </c>
      <c r="S13" s="513"/>
      <c r="U13" s="512"/>
    </row>
    <row r="14" spans="1:21" ht="30">
      <c r="A14" s="1204">
        <v>2</v>
      </c>
      <c r="B14" s="518" t="s">
        <v>858</v>
      </c>
      <c r="C14" s="517"/>
      <c r="D14" s="517"/>
      <c r="E14" s="1402"/>
      <c r="F14" s="519"/>
      <c r="G14" s="814"/>
      <c r="H14" s="523"/>
      <c r="I14" s="815"/>
      <c r="J14" s="814">
        <v>42.18</v>
      </c>
      <c r="K14" s="814">
        <v>0</v>
      </c>
      <c r="L14" s="814">
        <v>0</v>
      </c>
      <c r="M14" s="521" t="s">
        <v>857</v>
      </c>
      <c r="N14" s="519"/>
      <c r="O14" s="519"/>
      <c r="P14" s="519">
        <v>0</v>
      </c>
      <c r="Q14" s="519">
        <v>17.086092000000001</v>
      </c>
      <c r="R14" s="522">
        <f t="shared" ref="R14:R16" si="0">(Q14/J14)*10</f>
        <v>4.0507567567567566</v>
      </c>
      <c r="S14" s="513"/>
      <c r="U14" s="512"/>
    </row>
    <row r="15" spans="1:21" ht="45">
      <c r="A15" s="1204">
        <v>3</v>
      </c>
      <c r="B15" s="518" t="s">
        <v>1008</v>
      </c>
      <c r="C15" s="517"/>
      <c r="D15" s="517"/>
      <c r="E15" s="1402"/>
      <c r="F15" s="519"/>
      <c r="G15" s="814"/>
      <c r="H15" s="523"/>
      <c r="I15" s="815"/>
      <c r="J15" s="814">
        <v>6.7279999999999998</v>
      </c>
      <c r="K15" s="814">
        <v>0</v>
      </c>
      <c r="L15" s="814">
        <v>0</v>
      </c>
      <c r="M15" s="521" t="s">
        <v>857</v>
      </c>
      <c r="N15" s="519"/>
      <c r="O15" s="519"/>
      <c r="P15" s="519">
        <v>0</v>
      </c>
      <c r="Q15" s="519">
        <v>2.7200799999999998</v>
      </c>
      <c r="R15" s="522">
        <f t="shared" si="0"/>
        <v>4.0429250891795485</v>
      </c>
      <c r="S15" s="513"/>
      <c r="U15" s="512"/>
    </row>
    <row r="16" spans="1:21" ht="45">
      <c r="A16" s="1204">
        <v>4</v>
      </c>
      <c r="B16" s="518" t="s">
        <v>859</v>
      </c>
      <c r="C16" s="517"/>
      <c r="D16" s="517"/>
      <c r="E16" s="1403"/>
      <c r="F16" s="519"/>
      <c r="G16" s="814"/>
      <c r="H16" s="523"/>
      <c r="I16" s="815"/>
      <c r="J16" s="814">
        <v>14.091839999999999</v>
      </c>
      <c r="K16" s="814">
        <v>0</v>
      </c>
      <c r="L16" s="814">
        <v>0</v>
      </c>
      <c r="M16" s="521" t="s">
        <v>857</v>
      </c>
      <c r="N16" s="519"/>
      <c r="O16" s="519"/>
      <c r="P16" s="519">
        <v>0</v>
      </c>
      <c r="Q16" s="519">
        <v>5.7133440000000002</v>
      </c>
      <c r="R16" s="522">
        <f t="shared" si="0"/>
        <v>4.0543633762517883</v>
      </c>
      <c r="S16" s="513"/>
      <c r="U16" s="512"/>
    </row>
    <row r="17" spans="1:21">
      <c r="A17" s="1204">
        <v>5</v>
      </c>
      <c r="B17" s="518" t="s">
        <v>812</v>
      </c>
      <c r="C17" s="517"/>
      <c r="D17" s="517"/>
      <c r="E17" s="517"/>
      <c r="F17" s="519"/>
      <c r="G17" s="814"/>
      <c r="H17" s="523"/>
      <c r="I17" s="815"/>
      <c r="J17" s="814">
        <v>0.36</v>
      </c>
      <c r="K17" s="957">
        <v>0</v>
      </c>
      <c r="L17" s="957">
        <v>0</v>
      </c>
      <c r="M17" s="521"/>
      <c r="N17" s="525"/>
      <c r="O17" s="525"/>
      <c r="P17" s="525"/>
      <c r="Q17" s="519"/>
      <c r="R17" s="522"/>
      <c r="U17" s="512"/>
    </row>
    <row r="18" spans="1:21">
      <c r="A18" s="1204">
        <v>6</v>
      </c>
      <c r="B18" s="518" t="s">
        <v>860</v>
      </c>
      <c r="C18" s="517"/>
      <c r="D18" s="517"/>
      <c r="E18" s="517"/>
      <c r="F18" s="519"/>
      <c r="G18" s="519"/>
      <c r="H18" s="523"/>
      <c r="I18" s="526"/>
      <c r="J18" s="814"/>
      <c r="K18" s="524"/>
      <c r="L18" s="524"/>
      <c r="M18" s="521"/>
      <c r="N18" s="525"/>
      <c r="O18" s="525"/>
      <c r="P18" s="525"/>
      <c r="Q18" s="519">
        <v>1.1677999999999999</v>
      </c>
      <c r="R18" s="522"/>
      <c r="U18" s="512"/>
    </row>
    <row r="19" spans="1:21">
      <c r="A19" s="1204">
        <v>7</v>
      </c>
      <c r="B19" s="518" t="s">
        <v>861</v>
      </c>
      <c r="C19" s="517"/>
      <c r="D19" s="517"/>
      <c r="E19" s="517"/>
      <c r="F19" s="519"/>
      <c r="G19" s="519"/>
      <c r="H19" s="523"/>
      <c r="I19" s="526"/>
      <c r="J19" s="519"/>
      <c r="K19" s="524"/>
      <c r="L19" s="524"/>
      <c r="M19" s="521"/>
      <c r="N19" s="525"/>
      <c r="O19" s="525"/>
      <c r="P19" s="525"/>
      <c r="Q19" s="519">
        <v>0.26353599999999999</v>
      </c>
      <c r="R19" s="522"/>
      <c r="U19" s="512"/>
    </row>
    <row r="20" spans="1:21" ht="18.75">
      <c r="A20" s="4"/>
      <c r="B20" s="527" t="s">
        <v>115</v>
      </c>
      <c r="C20" s="517"/>
      <c r="D20" s="517"/>
      <c r="E20" s="517"/>
      <c r="F20" s="528"/>
      <c r="G20" s="528"/>
      <c r="H20" s="529"/>
      <c r="I20" s="529"/>
      <c r="J20" s="528">
        <f>SUM(J13:J19)</f>
        <v>81.808840000000004</v>
      </c>
      <c r="K20" s="529"/>
      <c r="L20" s="529"/>
      <c r="M20" s="530"/>
      <c r="N20" s="530"/>
      <c r="O20" s="529"/>
      <c r="P20" s="529"/>
      <c r="Q20" s="528">
        <f>SUM(Q13:Q19)</f>
        <v>34.486601</v>
      </c>
      <c r="R20" s="531"/>
      <c r="S20" s="513"/>
      <c r="U20" s="512"/>
    </row>
    <row r="21" spans="1:21" ht="18">
      <c r="A21" s="18"/>
      <c r="B21" s="207"/>
      <c r="C21" s="207"/>
      <c r="D21" s="207"/>
      <c r="E21" s="207"/>
      <c r="F21" s="207"/>
      <c r="G21" s="208"/>
      <c r="H21" s="208"/>
      <c r="I21" s="208"/>
      <c r="J21" s="208"/>
      <c r="K21" s="208"/>
      <c r="L21" s="208"/>
      <c r="M21" s="208"/>
      <c r="N21" s="208"/>
      <c r="O21" s="208"/>
      <c r="P21" s="208"/>
      <c r="Q21" s="208"/>
      <c r="R21" s="65"/>
    </row>
    <row r="22" spans="1:21">
      <c r="B22" s="418" t="s">
        <v>690</v>
      </c>
      <c r="C22" s="418"/>
      <c r="F22" s="960"/>
      <c r="I22" s="959"/>
      <c r="Q22" s="540">
        <f>+Q20+'F2.2'!E11+'F2.2'!E12</f>
        <v>37.292589319999998</v>
      </c>
    </row>
    <row r="24" spans="1:21" ht="18.75">
      <c r="A24" s="65"/>
      <c r="B24" s="418"/>
      <c r="C24" s="207"/>
      <c r="D24" s="207"/>
      <c r="E24" s="207"/>
      <c r="F24" s="207"/>
      <c r="G24" s="208"/>
      <c r="H24" s="208"/>
      <c r="I24" s="208"/>
      <c r="J24" s="208"/>
      <c r="K24" s="208"/>
      <c r="L24" s="208"/>
      <c r="M24" s="510"/>
      <c r="N24" s="510"/>
      <c r="O24" s="208"/>
      <c r="P24" s="208"/>
      <c r="Q24" s="208"/>
      <c r="R24" s="511"/>
      <c r="U24" s="512"/>
    </row>
    <row r="25" spans="1:21" s="200" customFormat="1" ht="85.5">
      <c r="A25" s="201" t="s">
        <v>157</v>
      </c>
      <c r="B25" s="201" t="s">
        <v>235</v>
      </c>
      <c r="C25" s="201" t="s">
        <v>286</v>
      </c>
      <c r="D25" s="201" t="s">
        <v>236</v>
      </c>
      <c r="E25" s="201" t="s">
        <v>237</v>
      </c>
      <c r="F25" s="202" t="s">
        <v>238</v>
      </c>
      <c r="G25" s="202" t="s">
        <v>862</v>
      </c>
      <c r="H25" s="202" t="s">
        <v>287</v>
      </c>
      <c r="I25" s="202" t="s">
        <v>853</v>
      </c>
      <c r="J25" s="202" t="s">
        <v>854</v>
      </c>
      <c r="K25" s="202" t="s">
        <v>240</v>
      </c>
      <c r="L25" s="202" t="s">
        <v>241</v>
      </c>
      <c r="M25" s="202" t="s">
        <v>289</v>
      </c>
      <c r="N25" s="202" t="s">
        <v>242</v>
      </c>
      <c r="O25" s="202" t="s">
        <v>855</v>
      </c>
      <c r="P25" s="202" t="s">
        <v>244</v>
      </c>
      <c r="Q25" s="202" t="s">
        <v>442</v>
      </c>
      <c r="R25" s="202" t="s">
        <v>443</v>
      </c>
    </row>
    <row r="26" spans="1:21">
      <c r="A26" s="203">
        <v>1</v>
      </c>
      <c r="B26" s="203">
        <v>2</v>
      </c>
      <c r="C26" s="203">
        <v>3</v>
      </c>
      <c r="D26" s="203">
        <v>4</v>
      </c>
      <c r="E26" s="203">
        <v>5</v>
      </c>
      <c r="F26" s="203">
        <v>6</v>
      </c>
      <c r="G26" s="203">
        <v>7</v>
      </c>
      <c r="H26" s="203">
        <v>8</v>
      </c>
      <c r="I26" s="203">
        <v>9</v>
      </c>
      <c r="J26" s="203">
        <v>10</v>
      </c>
      <c r="K26" s="203">
        <v>11</v>
      </c>
      <c r="L26" s="203">
        <v>12</v>
      </c>
      <c r="M26" s="203">
        <v>13</v>
      </c>
      <c r="N26" s="203">
        <v>14</v>
      </c>
      <c r="O26" s="203">
        <v>15</v>
      </c>
      <c r="P26" s="203">
        <v>16</v>
      </c>
      <c r="Q26" s="203">
        <v>17</v>
      </c>
      <c r="R26" s="203">
        <v>18</v>
      </c>
    </row>
    <row r="27" spans="1:21" ht="30">
      <c r="A27" s="68"/>
      <c r="B27" s="514" t="s">
        <v>290</v>
      </c>
      <c r="C27" s="515" t="s">
        <v>822</v>
      </c>
      <c r="D27" s="515"/>
      <c r="E27" s="515"/>
      <c r="F27" s="516"/>
      <c r="G27" s="529"/>
      <c r="H27" s="529"/>
      <c r="I27" s="529"/>
      <c r="J27" s="529"/>
      <c r="K27" s="529"/>
      <c r="L27" s="529"/>
      <c r="M27" s="530"/>
      <c r="N27" s="530"/>
      <c r="O27" s="529"/>
      <c r="P27" s="529"/>
      <c r="Q27" s="529"/>
      <c r="R27" s="531"/>
      <c r="U27" s="512"/>
    </row>
    <row r="28" spans="1:21" ht="18.75">
      <c r="A28" s="4"/>
      <c r="B28" s="514" t="s">
        <v>291</v>
      </c>
      <c r="C28" s="88"/>
      <c r="D28" s="88"/>
      <c r="E28" s="88"/>
      <c r="F28" s="88"/>
      <c r="G28" s="529"/>
      <c r="H28" s="529"/>
      <c r="I28" s="529"/>
      <c r="J28" s="529"/>
      <c r="K28" s="529"/>
      <c r="L28" s="529"/>
      <c r="M28" s="530"/>
      <c r="N28" s="530"/>
      <c r="O28" s="529"/>
      <c r="P28" s="529"/>
      <c r="Q28" s="529"/>
      <c r="R28" s="531"/>
      <c r="U28" s="512"/>
    </row>
    <row r="29" spans="1:21" ht="45">
      <c r="A29" s="1204">
        <v>1</v>
      </c>
      <c r="B29" s="518" t="s">
        <v>856</v>
      </c>
      <c r="C29" s="517" t="s">
        <v>786</v>
      </c>
      <c r="D29" s="517" t="s">
        <v>786</v>
      </c>
      <c r="E29" s="1401">
        <v>12</v>
      </c>
      <c r="F29" s="519">
        <f>+'F2.1'!Q24</f>
        <v>19.6462</v>
      </c>
      <c r="G29" s="519">
        <f>+J29/(1-I29)</f>
        <v>19.219602463809007</v>
      </c>
      <c r="H29" s="520"/>
      <c r="I29" s="815">
        <f>+'InSTS Loss'!E21</f>
        <v>4.0094609930672015E-2</v>
      </c>
      <c r="J29" s="519">
        <f>+J13</f>
        <v>18.449000000000002</v>
      </c>
      <c r="K29" s="519">
        <v>0</v>
      </c>
      <c r="L29" s="814">
        <v>0</v>
      </c>
      <c r="M29" s="521" t="s">
        <v>857</v>
      </c>
      <c r="N29" s="519"/>
      <c r="O29" s="519"/>
      <c r="P29" s="519">
        <v>0</v>
      </c>
      <c r="Q29" s="519">
        <v>7.535749</v>
      </c>
      <c r="R29" s="522">
        <f>(Q29/J29)*10</f>
        <v>4.0846381917719112</v>
      </c>
      <c r="S29" s="513"/>
      <c r="U29" s="512"/>
    </row>
    <row r="30" spans="1:21" ht="30">
      <c r="A30" s="1204">
        <v>2</v>
      </c>
      <c r="B30" s="518" t="s">
        <v>858</v>
      </c>
      <c r="C30" s="517" t="s">
        <v>786</v>
      </c>
      <c r="D30" s="517" t="s">
        <v>786</v>
      </c>
      <c r="E30" s="1402"/>
      <c r="F30" s="519">
        <f>+'F2.1'!Q27</f>
        <v>43.898510000000002</v>
      </c>
      <c r="G30" s="519">
        <f>+J30/(1-I30)</f>
        <v>43.89887689733601</v>
      </c>
      <c r="H30" s="523"/>
      <c r="I30" s="815">
        <f>+I33</f>
        <v>3.9155372957623988E-2</v>
      </c>
      <c r="J30" s="519">
        <f t="shared" ref="J30:J33" si="1">+J14</f>
        <v>42.18</v>
      </c>
      <c r="K30" s="519">
        <v>0</v>
      </c>
      <c r="L30" s="814">
        <v>0</v>
      </c>
      <c r="M30" s="521" t="s">
        <v>857</v>
      </c>
      <c r="N30" s="519"/>
      <c r="O30" s="519"/>
      <c r="P30" s="519">
        <v>0</v>
      </c>
      <c r="Q30" s="519">
        <v>17.086092000000001</v>
      </c>
      <c r="R30" s="522">
        <f>(Q30/J30)*10</f>
        <v>4.0507567567567566</v>
      </c>
      <c r="S30" s="513"/>
      <c r="U30" s="512"/>
    </row>
    <row r="31" spans="1:21" ht="45">
      <c r="A31" s="1204">
        <v>3</v>
      </c>
      <c r="B31" s="518" t="s">
        <v>1306</v>
      </c>
      <c r="C31" s="517"/>
      <c r="D31" s="517"/>
      <c r="E31" s="1402"/>
      <c r="F31" s="519">
        <f>+'F2.1'!Q29</f>
        <v>7.1457186666113017</v>
      </c>
      <c r="G31" s="519">
        <f>+J31/(1-I31)</f>
        <v>6.9987540713118941</v>
      </c>
      <c r="H31" s="523"/>
      <c r="I31" s="815">
        <f>+'InSTS Loss'!E23</f>
        <v>3.8686038765345973E-2</v>
      </c>
      <c r="J31" s="519">
        <f t="shared" si="1"/>
        <v>6.7279999999999998</v>
      </c>
      <c r="K31" s="519">
        <v>0</v>
      </c>
      <c r="L31" s="814">
        <v>0</v>
      </c>
      <c r="M31" s="521" t="s">
        <v>857</v>
      </c>
      <c r="N31" s="519"/>
      <c r="O31" s="519"/>
      <c r="P31" s="519">
        <v>0</v>
      </c>
      <c r="Q31" s="519">
        <v>2.7200799999999998</v>
      </c>
      <c r="R31" s="522">
        <f>(Q31/J31)*10</f>
        <v>4.0429250891795485</v>
      </c>
      <c r="S31" s="513"/>
      <c r="U31" s="512"/>
    </row>
    <row r="32" spans="1:21" ht="45">
      <c r="A32" s="1204">
        <v>4</v>
      </c>
      <c r="B32" s="518" t="s">
        <v>859</v>
      </c>
      <c r="C32" s="517"/>
      <c r="D32" s="517"/>
      <c r="E32" s="1403"/>
      <c r="F32" s="519">
        <f>+'F2.1'!Q33</f>
        <v>14.979839999999999</v>
      </c>
      <c r="G32" s="519">
        <f>+J32/(1-I32)</f>
        <v>14.674699868099918</v>
      </c>
      <c r="H32" s="520"/>
      <c r="I32" s="815">
        <f>+'InSTS Loss'!E24</f>
        <v>3.9718690899222239E-2</v>
      </c>
      <c r="J32" s="519">
        <f t="shared" si="1"/>
        <v>14.091839999999999</v>
      </c>
      <c r="K32" s="519">
        <v>0</v>
      </c>
      <c r="L32" s="814">
        <v>0</v>
      </c>
      <c r="M32" s="521" t="s">
        <v>857</v>
      </c>
      <c r="N32" s="519"/>
      <c r="O32" s="519"/>
      <c r="P32" s="519">
        <v>0</v>
      </c>
      <c r="Q32" s="519">
        <v>5.7133440000000002</v>
      </c>
      <c r="R32" s="522">
        <f>(Q32/J32)*10</f>
        <v>4.0543633762517883</v>
      </c>
      <c r="S32" s="513"/>
      <c r="U32" s="512"/>
    </row>
    <row r="33" spans="1:21">
      <c r="A33" s="1204">
        <v>5</v>
      </c>
      <c r="B33" s="518" t="s">
        <v>812</v>
      </c>
      <c r="C33" s="517"/>
      <c r="D33" s="517"/>
      <c r="E33" s="517"/>
      <c r="F33" s="519">
        <v>0</v>
      </c>
      <c r="G33" s="519">
        <f>+J33/(1-I33)</f>
        <v>0.37467035758750505</v>
      </c>
      <c r="H33" s="523"/>
      <c r="I33" s="815">
        <f>+'InSTS Loss'!E17</f>
        <v>3.9155372957623988E-2</v>
      </c>
      <c r="J33" s="519">
        <f t="shared" si="1"/>
        <v>0.36</v>
      </c>
      <c r="K33" s="519">
        <v>0</v>
      </c>
      <c r="L33" s="957">
        <v>0</v>
      </c>
      <c r="M33" s="521"/>
      <c r="N33" s="525"/>
      <c r="O33" s="525"/>
      <c r="P33" s="525"/>
      <c r="Q33" s="519">
        <v>1.2020398999999999</v>
      </c>
      <c r="R33" s="522"/>
      <c r="U33" s="512"/>
    </row>
    <row r="34" spans="1:21">
      <c r="A34" s="1204">
        <v>6</v>
      </c>
      <c r="B34" s="518" t="s">
        <v>860</v>
      </c>
      <c r="C34" s="517"/>
      <c r="D34" s="517"/>
      <c r="E34" s="517"/>
      <c r="F34" s="519">
        <v>0</v>
      </c>
      <c r="G34" s="519">
        <v>0</v>
      </c>
      <c r="H34" s="523"/>
      <c r="I34" s="526"/>
      <c r="J34" s="519">
        <v>0</v>
      </c>
      <c r="K34" s="524"/>
      <c r="L34" s="524"/>
      <c r="M34" s="521"/>
      <c r="N34" s="525"/>
      <c r="O34" s="525"/>
      <c r="P34" s="525"/>
      <c r="Q34" s="519">
        <v>1.1677999999999999</v>
      </c>
      <c r="R34" s="522"/>
      <c r="U34" s="512"/>
    </row>
    <row r="35" spans="1:21">
      <c r="A35" s="1204">
        <v>7</v>
      </c>
      <c r="B35" s="518" t="s">
        <v>861</v>
      </c>
      <c r="C35" s="517"/>
      <c r="D35" s="517"/>
      <c r="E35" s="517"/>
      <c r="F35" s="519">
        <v>0</v>
      </c>
      <c r="G35" s="519">
        <v>0</v>
      </c>
      <c r="H35" s="523"/>
      <c r="I35" s="526"/>
      <c r="J35" s="519">
        <v>0</v>
      </c>
      <c r="K35" s="524"/>
      <c r="L35" s="524"/>
      <c r="M35" s="521"/>
      <c r="N35" s="525"/>
      <c r="O35" s="525"/>
      <c r="P35" s="525"/>
      <c r="Q35" s="519">
        <v>0</v>
      </c>
      <c r="R35" s="522"/>
      <c r="U35" s="512"/>
    </row>
    <row r="36" spans="1:21" ht="18.75">
      <c r="A36" s="4"/>
      <c r="B36" s="527" t="s">
        <v>115</v>
      </c>
      <c r="C36" s="517" t="s">
        <v>786</v>
      </c>
      <c r="D36" s="517" t="s">
        <v>786</v>
      </c>
      <c r="E36" s="517" t="s">
        <v>786</v>
      </c>
      <c r="F36" s="528">
        <f>SUM(F29:F32)</f>
        <v>85.670268666611292</v>
      </c>
      <c r="G36" s="528">
        <f>SUM(G29:G35)</f>
        <v>85.166603658144339</v>
      </c>
      <c r="H36" s="529"/>
      <c r="I36" s="529"/>
      <c r="J36" s="528">
        <f>SUM(J29:J35)</f>
        <v>81.808840000000004</v>
      </c>
      <c r="K36" s="529"/>
      <c r="L36" s="529"/>
      <c r="M36" s="530"/>
      <c r="N36" s="530"/>
      <c r="O36" s="529"/>
      <c r="P36" s="529"/>
      <c r="Q36" s="528">
        <f>SUM(Q29:Q35)</f>
        <v>35.425104900000001</v>
      </c>
      <c r="R36" s="522">
        <f>(Q36/J36)*10</f>
        <v>4.3302294593102655</v>
      </c>
      <c r="S36" s="513"/>
      <c r="U36" s="512"/>
    </row>
    <row r="37" spans="1:21" ht="18">
      <c r="A37" s="65"/>
      <c r="B37" s="207"/>
      <c r="C37" s="207"/>
      <c r="D37" s="207"/>
      <c r="E37" s="207"/>
      <c r="F37" s="207"/>
      <c r="G37" s="208"/>
      <c r="H37" s="208"/>
      <c r="I37" s="208"/>
      <c r="J37" s="826"/>
      <c r="K37" s="208"/>
      <c r="L37" s="208"/>
      <c r="M37" s="208"/>
      <c r="N37" s="208"/>
      <c r="O37" s="208"/>
      <c r="P37" s="208"/>
      <c r="Q37" s="208"/>
      <c r="R37" s="65"/>
    </row>
    <row r="38" spans="1:21" ht="18">
      <c r="A38" s="65"/>
      <c r="B38" s="207"/>
      <c r="C38" s="207"/>
      <c r="D38" s="207"/>
      <c r="E38" s="207"/>
      <c r="F38" s="207"/>
      <c r="G38" s="208"/>
      <c r="H38" s="208"/>
      <c r="I38" s="958"/>
      <c r="J38" s="208"/>
      <c r="K38" s="208"/>
      <c r="L38" s="208"/>
      <c r="M38" s="208"/>
      <c r="N38" s="208"/>
      <c r="O38" s="208"/>
      <c r="P38" s="208"/>
      <c r="Q38" s="939"/>
      <c r="R38" s="65"/>
    </row>
    <row r="39" spans="1:21">
      <c r="B39" s="180" t="s">
        <v>691</v>
      </c>
      <c r="C39" s="180"/>
    </row>
    <row r="41" spans="1:21" s="200" customFormat="1" ht="85.5">
      <c r="A41" s="201" t="s">
        <v>157</v>
      </c>
      <c r="B41" s="201" t="s">
        <v>235</v>
      </c>
      <c r="C41" s="201" t="s">
        <v>286</v>
      </c>
      <c r="D41" s="201" t="s">
        <v>236</v>
      </c>
      <c r="E41" s="201" t="s">
        <v>237</v>
      </c>
      <c r="F41" s="202" t="s">
        <v>238</v>
      </c>
      <c r="G41" s="202" t="s">
        <v>239</v>
      </c>
      <c r="H41" s="202" t="s">
        <v>287</v>
      </c>
      <c r="I41" s="202" t="s">
        <v>853</v>
      </c>
      <c r="J41" s="202" t="s">
        <v>288</v>
      </c>
      <c r="K41" s="202" t="s">
        <v>240</v>
      </c>
      <c r="L41" s="202" t="s">
        <v>241</v>
      </c>
      <c r="M41" s="202" t="s">
        <v>289</v>
      </c>
      <c r="N41" s="202" t="s">
        <v>242</v>
      </c>
      <c r="O41" s="202" t="s">
        <v>243</v>
      </c>
      <c r="P41" s="202" t="s">
        <v>244</v>
      </c>
      <c r="Q41" s="202" t="s">
        <v>442</v>
      </c>
      <c r="R41" s="202" t="s">
        <v>443</v>
      </c>
    </row>
    <row r="42" spans="1:21">
      <c r="A42" s="203">
        <v>1</v>
      </c>
      <c r="B42" s="203">
        <v>2</v>
      </c>
      <c r="C42" s="203">
        <v>3</v>
      </c>
      <c r="D42" s="203">
        <v>4</v>
      </c>
      <c r="E42" s="203">
        <v>5</v>
      </c>
      <c r="F42" s="203">
        <v>6</v>
      </c>
      <c r="G42" s="203">
        <v>7</v>
      </c>
      <c r="H42" s="203">
        <v>8</v>
      </c>
      <c r="I42" s="203">
        <v>9</v>
      </c>
      <c r="J42" s="203">
        <v>10</v>
      </c>
      <c r="K42" s="203">
        <v>11</v>
      </c>
      <c r="L42" s="203">
        <v>12</v>
      </c>
      <c r="M42" s="203">
        <v>13</v>
      </c>
      <c r="N42" s="203">
        <v>14</v>
      </c>
      <c r="O42" s="203">
        <v>15</v>
      </c>
      <c r="P42" s="203">
        <v>16</v>
      </c>
      <c r="Q42" s="203">
        <v>17</v>
      </c>
      <c r="R42" s="203">
        <v>18</v>
      </c>
    </row>
    <row r="43" spans="1:21">
      <c r="A43" s="174"/>
      <c r="B43" s="704" t="s">
        <v>867</v>
      </c>
      <c r="C43" s="172"/>
      <c r="D43" s="172"/>
      <c r="E43" s="172"/>
      <c r="F43" s="173"/>
      <c r="G43" s="173"/>
      <c r="H43" s="173"/>
      <c r="I43" s="173"/>
      <c r="J43" s="173"/>
      <c r="K43" s="173"/>
      <c r="L43" s="173"/>
      <c r="M43" s="173"/>
      <c r="N43" s="173"/>
      <c r="O43" s="173"/>
      <c r="P43" s="173"/>
      <c r="Q43" s="174"/>
      <c r="R43" s="174"/>
    </row>
    <row r="44" spans="1:21" ht="30">
      <c r="A44" s="174"/>
      <c r="B44" s="748" t="s">
        <v>1003</v>
      </c>
      <c r="C44" s="172"/>
      <c r="D44" s="172"/>
      <c r="E44" s="172">
        <v>12</v>
      </c>
      <c r="F44" s="173"/>
      <c r="G44" s="709">
        <v>20.82</v>
      </c>
      <c r="H44" s="709">
        <v>0</v>
      </c>
      <c r="I44" s="708">
        <f>ASSUM!$I$58</f>
        <v>3.9199999999999999E-2</v>
      </c>
      <c r="J44" s="709">
        <f>G44*(1-H44)*(1-I44)</f>
        <v>20.003855999999999</v>
      </c>
      <c r="K44" s="709">
        <v>0</v>
      </c>
      <c r="L44" s="709">
        <v>0</v>
      </c>
      <c r="M44" s="747" t="s">
        <v>1002</v>
      </c>
      <c r="N44" s="709">
        <v>8.08</v>
      </c>
      <c r="O44" s="173"/>
      <c r="P44" s="173"/>
      <c r="Q44" s="750">
        <f>K44+L44+N44-O44+P44</f>
        <v>8.08</v>
      </c>
      <c r="R44" s="751">
        <f>(Q44/G44)*10</f>
        <v>3.8808837656099904</v>
      </c>
    </row>
    <row r="45" spans="1:21">
      <c r="A45" s="177"/>
      <c r="B45" s="205" t="str">
        <f>+B62</f>
        <v>Jindal Power Limited, Chhatisgarh</v>
      </c>
      <c r="C45" s="175"/>
      <c r="D45" s="175"/>
      <c r="E45" s="175">
        <v>10</v>
      </c>
      <c r="F45" s="789"/>
      <c r="G45" s="539">
        <f>(E45*85%*1000*24*274)/10^6</f>
        <v>55.896000000000001</v>
      </c>
      <c r="H45" s="709">
        <v>0</v>
      </c>
      <c r="I45" s="708">
        <f>ASSUM!$I$58</f>
        <v>3.9199999999999999E-2</v>
      </c>
      <c r="J45" s="709">
        <f t="shared" ref="J45:J52" si="2">G45*(1-H45)*(1-I45)</f>
        <v>53.704876800000001</v>
      </c>
      <c r="K45" s="709">
        <v>0</v>
      </c>
      <c r="L45" s="709">
        <v>0</v>
      </c>
      <c r="M45" s="747">
        <v>3.72</v>
      </c>
      <c r="N45" s="539">
        <f>M45*G45/10</f>
        <v>20.793312</v>
      </c>
      <c r="O45" s="176"/>
      <c r="P45" s="176"/>
      <c r="Q45" s="750">
        <f>K45+L45+N45-O45+P45</f>
        <v>20.793312</v>
      </c>
      <c r="R45" s="751">
        <f t="shared" ref="R45:R46" si="3">(Q45/G45)*10</f>
        <v>3.7199999999999998</v>
      </c>
    </row>
    <row r="46" spans="1:21">
      <c r="A46" s="177"/>
      <c r="B46" s="205" t="str">
        <f>+B63</f>
        <v>GMR Energy Trading Ltd.</v>
      </c>
      <c r="C46" s="175"/>
      <c r="D46" s="175"/>
      <c r="E46" s="175">
        <v>10</v>
      </c>
      <c r="F46" s="175"/>
      <c r="G46" s="539">
        <f>(E46*85%*1000*15*22*9)/10^6</f>
        <v>25.245000000000001</v>
      </c>
      <c r="H46" s="709">
        <v>0</v>
      </c>
      <c r="I46" s="708">
        <f>ASSUM!$I$58</f>
        <v>3.9199999999999999E-2</v>
      </c>
      <c r="J46" s="709">
        <f t="shared" si="2"/>
        <v>24.255396000000001</v>
      </c>
      <c r="K46" s="709">
        <v>0</v>
      </c>
      <c r="L46" s="709">
        <v>0</v>
      </c>
      <c r="M46" s="176">
        <v>3.72</v>
      </c>
      <c r="N46" s="539">
        <f>M46*G46/10</f>
        <v>9.3911400000000018</v>
      </c>
      <c r="O46" s="176"/>
      <c r="P46" s="176"/>
      <c r="Q46" s="750">
        <f>K46+L46+N46-O46+P46</f>
        <v>9.3911400000000018</v>
      </c>
      <c r="R46" s="751">
        <f t="shared" si="3"/>
        <v>3.7200000000000006</v>
      </c>
    </row>
    <row r="47" spans="1:21">
      <c r="A47" s="176"/>
      <c r="B47" s="171" t="s">
        <v>973</v>
      </c>
      <c r="C47" s="175"/>
      <c r="D47" s="175"/>
      <c r="E47" s="175"/>
      <c r="F47" s="175"/>
      <c r="G47" s="539">
        <v>0</v>
      </c>
      <c r="H47" s="709">
        <v>0</v>
      </c>
      <c r="I47" s="708">
        <f>ASSUM!$I$58</f>
        <v>3.9199999999999999E-2</v>
      </c>
      <c r="J47" s="709">
        <f t="shared" si="2"/>
        <v>0</v>
      </c>
      <c r="K47" s="709">
        <v>0</v>
      </c>
      <c r="L47" s="709">
        <v>0</v>
      </c>
      <c r="M47" s="176"/>
      <c r="N47" s="176"/>
      <c r="O47" s="176"/>
      <c r="P47" s="176"/>
      <c r="Q47" s="176"/>
      <c r="R47" s="176"/>
    </row>
    <row r="48" spans="1:21">
      <c r="A48" s="176"/>
      <c r="B48" s="679" t="s">
        <v>974</v>
      </c>
      <c r="C48" s="175"/>
      <c r="D48" s="175"/>
      <c r="E48" s="175"/>
      <c r="F48" s="175"/>
      <c r="G48" s="539">
        <v>0</v>
      </c>
      <c r="H48" s="709">
        <v>0</v>
      </c>
      <c r="I48" s="708"/>
      <c r="J48" s="709">
        <f t="shared" si="2"/>
        <v>0</v>
      </c>
      <c r="K48" s="709">
        <v>0</v>
      </c>
      <c r="L48" s="709">
        <v>0</v>
      </c>
      <c r="M48" s="176"/>
      <c r="N48" s="176"/>
      <c r="O48" s="176"/>
      <c r="P48" s="176"/>
      <c r="Q48" s="176"/>
      <c r="R48" s="176"/>
    </row>
    <row r="49" spans="1:20">
      <c r="A49" s="176"/>
      <c r="B49" s="205" t="s">
        <v>975</v>
      </c>
      <c r="C49" s="175"/>
      <c r="D49" s="175"/>
      <c r="E49" s="175"/>
      <c r="F49" s="175"/>
      <c r="G49" s="539">
        <v>0</v>
      </c>
      <c r="H49" s="709">
        <v>0</v>
      </c>
      <c r="I49" s="708"/>
      <c r="J49" s="709">
        <f t="shared" si="2"/>
        <v>0</v>
      </c>
      <c r="K49" s="709">
        <v>0</v>
      </c>
      <c r="L49" s="709">
        <v>0</v>
      </c>
      <c r="M49" s="176"/>
      <c r="O49" s="176"/>
      <c r="P49" s="176"/>
      <c r="Q49" s="749">
        <v>0.35</v>
      </c>
      <c r="R49" s="176"/>
    </row>
    <row r="50" spans="1:20">
      <c r="A50" s="176"/>
      <c r="B50" s="206" t="s">
        <v>976</v>
      </c>
      <c r="C50" s="175"/>
      <c r="D50" s="175"/>
      <c r="E50" s="175"/>
      <c r="F50" s="175"/>
      <c r="G50" s="539">
        <v>0</v>
      </c>
      <c r="H50" s="709">
        <v>0</v>
      </c>
      <c r="I50" s="708"/>
      <c r="J50" s="709">
        <f t="shared" si="2"/>
        <v>0</v>
      </c>
      <c r="K50" s="709">
        <v>0</v>
      </c>
      <c r="L50" s="709">
        <v>0</v>
      </c>
      <c r="M50" s="176"/>
      <c r="O50" s="176"/>
      <c r="P50" s="176"/>
      <c r="Q50" s="749">
        <v>1.4750000000000001</v>
      </c>
      <c r="R50" s="176"/>
    </row>
    <row r="51" spans="1:20">
      <c r="A51" s="176"/>
      <c r="B51" s="206" t="s">
        <v>820</v>
      </c>
      <c r="C51" s="175"/>
      <c r="D51" s="175"/>
      <c r="E51" s="175"/>
      <c r="F51" s="175"/>
      <c r="G51" s="539">
        <f>'F1.4'!F28-SUM('F2'!G44:G50)</f>
        <v>-3.291547496464716</v>
      </c>
      <c r="H51" s="709">
        <v>0</v>
      </c>
      <c r="I51" s="708">
        <f>ASSUM!$I$58</f>
        <v>3.9199999999999999E-2</v>
      </c>
      <c r="J51" s="709">
        <f t="shared" si="2"/>
        <v>-3.1625188346032993</v>
      </c>
      <c r="K51" s="709">
        <v>0</v>
      </c>
      <c r="L51" s="709">
        <v>0</v>
      </c>
      <c r="M51" s="178">
        <v>3.72</v>
      </c>
      <c r="N51" s="539">
        <f>M51*G51/10</f>
        <v>-1.2244556686848744</v>
      </c>
      <c r="O51" s="178"/>
      <c r="P51" s="178"/>
      <c r="Q51" s="751">
        <f>K51+L51+N51-O51+P51</f>
        <v>-1.2244556686848744</v>
      </c>
      <c r="R51" s="751">
        <f t="shared" ref="R51:R53" si="4">(Q51/G51)*10</f>
        <v>3.7199999999999998</v>
      </c>
    </row>
    <row r="52" spans="1:20">
      <c r="A52" s="176"/>
      <c r="B52" s="206" t="s">
        <v>977</v>
      </c>
      <c r="C52" s="174"/>
      <c r="D52" s="174"/>
      <c r="E52" s="174"/>
      <c r="F52" s="174"/>
      <c r="G52" s="539">
        <v>0</v>
      </c>
      <c r="H52" s="709">
        <v>0</v>
      </c>
      <c r="I52" s="708"/>
      <c r="J52" s="709">
        <f t="shared" si="2"/>
        <v>0</v>
      </c>
      <c r="K52" s="709">
        <v>0</v>
      </c>
      <c r="L52" s="709">
        <v>0</v>
      </c>
      <c r="M52" s="179"/>
      <c r="N52" s="179"/>
      <c r="O52" s="179"/>
      <c r="P52" s="179"/>
      <c r="Q52" s="176"/>
      <c r="R52" s="176"/>
    </row>
    <row r="53" spans="1:20">
      <c r="A53" s="176"/>
      <c r="B53" s="198" t="s">
        <v>115</v>
      </c>
      <c r="C53" s="174"/>
      <c r="D53" s="174"/>
      <c r="E53" s="174"/>
      <c r="F53" s="174"/>
      <c r="G53" s="543">
        <f>SUM(G44:G52)</f>
        <v>98.669452503535297</v>
      </c>
      <c r="H53" s="179"/>
      <c r="I53" s="179"/>
      <c r="J53" s="543">
        <f>SUM(J44:J52)</f>
        <v>94.801609965396707</v>
      </c>
      <c r="K53" s="709">
        <v>0</v>
      </c>
      <c r="L53" s="709">
        <v>0</v>
      </c>
      <c r="M53" s="179"/>
      <c r="N53" s="543">
        <f>SUM(N44:N51)</f>
        <v>37.039996331315123</v>
      </c>
      <c r="O53" s="179"/>
      <c r="P53" s="179"/>
      <c r="Q53" s="543">
        <f>SUM(Q44:Q52)</f>
        <v>38.864996331315126</v>
      </c>
      <c r="R53" s="751">
        <f t="shared" si="4"/>
        <v>3.938908684014701</v>
      </c>
    </row>
    <row r="54" spans="1:20" ht="18">
      <c r="A54" s="65"/>
      <c r="B54" s="207"/>
      <c r="C54" s="207"/>
      <c r="D54" s="207"/>
      <c r="E54" s="198" t="s">
        <v>934</v>
      </c>
      <c r="F54" s="198"/>
      <c r="G54" s="539">
        <f>'F1.4'!F26*ASSUM!I61</f>
        <v>-3.2915474964647161E-2</v>
      </c>
      <c r="H54" s="539"/>
      <c r="I54" s="539"/>
      <c r="J54" s="539"/>
      <c r="K54" s="539"/>
      <c r="L54" s="539"/>
      <c r="M54" s="539">
        <v>3500</v>
      </c>
      <c r="N54" s="539">
        <f>M54*G54*1000/10^7</f>
        <v>-1.1520416237626506E-2</v>
      </c>
      <c r="O54" s="208"/>
      <c r="P54" s="208"/>
      <c r="Q54" s="208"/>
      <c r="R54" s="65"/>
    </row>
    <row r="55" spans="1:20">
      <c r="C55" s="359"/>
      <c r="E55" s="753" t="s">
        <v>1004</v>
      </c>
      <c r="F55" s="753"/>
      <c r="G55" s="539">
        <f>'F1.4'!F26*ASSUM!I62</f>
        <v>-0.32915474964647162</v>
      </c>
      <c r="H55" s="539"/>
      <c r="I55" s="539"/>
      <c r="J55" s="539"/>
      <c r="K55" s="539"/>
      <c r="L55" s="539"/>
      <c r="M55" s="539">
        <v>1500</v>
      </c>
      <c r="N55" s="539">
        <f>M55*G55*1000/10^7</f>
        <v>-4.9373212446970745E-2</v>
      </c>
    </row>
    <row r="56" spans="1:20" ht="18">
      <c r="B56" s="791"/>
      <c r="C56" s="791"/>
      <c r="E56" s="378"/>
      <c r="F56" s="378"/>
      <c r="G56" s="825"/>
      <c r="H56" s="378"/>
      <c r="I56" s="378"/>
      <c r="J56" s="378"/>
      <c r="K56" s="378"/>
      <c r="L56" s="378"/>
      <c r="M56" s="378"/>
      <c r="N56" s="826"/>
    </row>
    <row r="57" spans="1:20" ht="18">
      <c r="B57" s="359" t="s">
        <v>692</v>
      </c>
      <c r="C57" s="791"/>
      <c r="E57" s="378"/>
      <c r="F57" s="378"/>
      <c r="G57" s="825"/>
      <c r="H57" s="378"/>
      <c r="I57" s="378"/>
      <c r="J57" s="378"/>
      <c r="K57" s="378"/>
      <c r="L57" s="378"/>
      <c r="M57" s="378"/>
      <c r="N57" s="826"/>
    </row>
    <row r="59" spans="1:20" ht="99.75">
      <c r="A59" s="201" t="s">
        <v>157</v>
      </c>
      <c r="B59" s="201" t="s">
        <v>235</v>
      </c>
      <c r="C59" s="201" t="s">
        <v>286</v>
      </c>
      <c r="D59" s="201" t="s">
        <v>236</v>
      </c>
      <c r="E59" s="201" t="s">
        <v>237</v>
      </c>
      <c r="F59" s="202" t="s">
        <v>238</v>
      </c>
      <c r="G59" s="202" t="s">
        <v>239</v>
      </c>
      <c r="H59" s="202" t="s">
        <v>287</v>
      </c>
      <c r="I59" s="202" t="s">
        <v>853</v>
      </c>
      <c r="J59" s="202" t="s">
        <v>288</v>
      </c>
      <c r="K59" s="202" t="s">
        <v>240</v>
      </c>
      <c r="L59" s="202" t="s">
        <v>241</v>
      </c>
      <c r="M59" s="202" t="s">
        <v>868</v>
      </c>
      <c r="N59" s="202" t="s">
        <v>242</v>
      </c>
      <c r="O59" s="202" t="s">
        <v>243</v>
      </c>
      <c r="P59" s="202" t="s">
        <v>244</v>
      </c>
      <c r="Q59" s="202" t="s">
        <v>442</v>
      </c>
      <c r="R59" s="202" t="s">
        <v>443</v>
      </c>
    </row>
    <row r="60" spans="1:20">
      <c r="A60" s="203">
        <v>1</v>
      </c>
      <c r="B60" s="203">
        <v>2</v>
      </c>
      <c r="C60" s="203">
        <v>3</v>
      </c>
      <c r="D60" s="203">
        <v>4</v>
      </c>
      <c r="E60" s="203">
        <v>5</v>
      </c>
      <c r="F60" s="203">
        <v>6</v>
      </c>
      <c r="G60" s="203">
        <v>7</v>
      </c>
      <c r="H60" s="203">
        <v>8</v>
      </c>
      <c r="I60" s="203">
        <v>9</v>
      </c>
      <c r="J60" s="203">
        <v>10</v>
      </c>
      <c r="K60" s="203">
        <v>11</v>
      </c>
      <c r="L60" s="203">
        <v>12</v>
      </c>
      <c r="M60" s="203">
        <v>13</v>
      </c>
      <c r="N60" s="203">
        <v>14</v>
      </c>
      <c r="O60" s="203">
        <v>15</v>
      </c>
      <c r="P60" s="203">
        <v>16</v>
      </c>
      <c r="Q60" s="203">
        <v>17</v>
      </c>
      <c r="R60" s="203">
        <v>18</v>
      </c>
    </row>
    <row r="61" spans="1:20">
      <c r="A61" s="174"/>
      <c r="B61" s="204" t="s">
        <v>867</v>
      </c>
      <c r="C61" s="172"/>
      <c r="D61" s="172"/>
      <c r="E61" s="172"/>
      <c r="F61" s="173"/>
      <c r="G61" s="516"/>
      <c r="H61" s="516"/>
      <c r="I61" s="516"/>
      <c r="J61" s="516"/>
      <c r="K61" s="516"/>
      <c r="L61" s="516"/>
      <c r="M61" s="516"/>
      <c r="N61" s="516"/>
      <c r="O61" s="516"/>
      <c r="P61" s="516"/>
      <c r="Q61" s="68"/>
      <c r="R61" s="68"/>
    </row>
    <row r="62" spans="1:20">
      <c r="A62" s="176"/>
      <c r="B62" s="206" t="str">
        <f>'F2.1'!C59</f>
        <v>Jindal Power Limited, Chhatisgarh</v>
      </c>
      <c r="C62" s="175"/>
      <c r="D62" s="175"/>
      <c r="E62" s="175">
        <v>10</v>
      </c>
      <c r="F62" s="175"/>
      <c r="G62" s="698">
        <f>'F2.1'!Q59</f>
        <v>62.656777596940358</v>
      </c>
      <c r="H62" s="4"/>
      <c r="I62" s="1097">
        <f>'F2.1'!$Q$49</f>
        <v>3.6256519735538666E-2</v>
      </c>
      <c r="J62" s="698">
        <f>G62*(1-I62)</f>
        <v>60.385060903431636</v>
      </c>
      <c r="K62" s="4"/>
      <c r="L62" s="4"/>
      <c r="M62" s="4">
        <v>3.82</v>
      </c>
      <c r="N62" s="699"/>
      <c r="O62" s="4"/>
      <c r="P62" s="4"/>
      <c r="Q62" s="698">
        <f>Backup!P99/10^7</f>
        <v>21.249253721999999</v>
      </c>
      <c r="R62" s="531">
        <f>Q62/G62*10</f>
        <v>3.3913735332341188</v>
      </c>
      <c r="S62" s="540"/>
      <c r="T62" s="544"/>
    </row>
    <row r="63" spans="1:20">
      <c r="A63" s="176"/>
      <c r="B63" s="206" t="str">
        <f>'F2.1'!C60</f>
        <v>GMR Energy Trading Ltd.</v>
      </c>
      <c r="C63" s="175"/>
      <c r="D63" s="175"/>
      <c r="E63" s="175">
        <v>10</v>
      </c>
      <c r="F63" s="175"/>
      <c r="G63" s="698">
        <f>'F2.1'!Q60</f>
        <v>18.988875999999998</v>
      </c>
      <c r="H63" s="4"/>
      <c r="I63" s="1097">
        <f>'F2.1'!$Q$49</f>
        <v>3.6256519735538666E-2</v>
      </c>
      <c r="J63" s="698">
        <f>G63*(1-I63)</f>
        <v>18.3004054425503</v>
      </c>
      <c r="K63" s="4"/>
      <c r="L63" s="4"/>
      <c r="M63" s="531">
        <v>4.4000000000000004</v>
      </c>
      <c r="N63" s="4"/>
      <c r="O63" s="4"/>
      <c r="P63" s="4"/>
      <c r="Q63" s="698">
        <f>Backup!P100/10^7</f>
        <v>7.8369949999999999</v>
      </c>
      <c r="R63" s="531">
        <f>Q63/G63*10</f>
        <v>4.1271505485632751</v>
      </c>
      <c r="S63" s="540"/>
      <c r="T63" s="544">
        <f>+SUMPRODUCT(Q62:Q63,R62:R63)/SUM(Q62:Q63)</f>
        <v>3.5896211947102468</v>
      </c>
    </row>
    <row r="64" spans="1:20">
      <c r="A64" s="176"/>
      <c r="B64" s="206"/>
      <c r="C64" s="175"/>
      <c r="D64" s="175"/>
      <c r="E64" s="175"/>
      <c r="F64" s="175"/>
      <c r="G64" s="698"/>
      <c r="H64" s="4"/>
      <c r="I64" s="4"/>
      <c r="J64" s="4"/>
      <c r="K64" s="4"/>
      <c r="L64" s="4"/>
      <c r="M64" s="4"/>
      <c r="N64" s="4"/>
      <c r="O64" s="4"/>
      <c r="P64" s="4"/>
      <c r="Q64" s="698"/>
      <c r="R64" s="531"/>
      <c r="S64" s="540"/>
      <c r="T64" s="540"/>
    </row>
    <row r="65" spans="1:19">
      <c r="A65" s="176"/>
      <c r="B65" s="204" t="s">
        <v>291</v>
      </c>
      <c r="C65" s="175"/>
      <c r="D65" s="175"/>
      <c r="E65" s="175"/>
      <c r="F65" s="175"/>
      <c r="G65" s="698"/>
      <c r="H65" s="4"/>
      <c r="I65" s="4"/>
      <c r="J65" s="4"/>
      <c r="K65" s="4"/>
      <c r="L65" s="4"/>
      <c r="M65" s="4"/>
      <c r="N65" s="4"/>
      <c r="O65" s="4"/>
      <c r="P65" s="4"/>
      <c r="Q65" s="698"/>
      <c r="R65" s="531"/>
      <c r="S65" s="540"/>
    </row>
    <row r="66" spans="1:19" s="394" customFormat="1" ht="30">
      <c r="A66" s="725"/>
      <c r="B66" s="726" t="str">
        <f>'F2.1'!C54</f>
        <v>Adani Power Limited Stage-III/Gujarat through Global Energy</v>
      </c>
      <c r="C66" s="727"/>
      <c r="D66" s="727"/>
      <c r="E66" s="727">
        <v>12</v>
      </c>
      <c r="F66" s="727"/>
      <c r="G66" s="560">
        <f>'F2.1'!Q57</f>
        <v>23.361881311999998</v>
      </c>
      <c r="H66" s="144"/>
      <c r="I66" s="1160">
        <f>'F2.1'!$Q$49</f>
        <v>3.6256519735538666E-2</v>
      </c>
      <c r="J66" s="560">
        <f t="shared" ref="J66:J67" si="5">G66*(1-I66)</f>
        <v>22.514860801152157</v>
      </c>
      <c r="K66" s="144"/>
      <c r="L66" s="517"/>
      <c r="M66" s="517"/>
      <c r="N66" s="517"/>
      <c r="O66" s="517"/>
      <c r="P66" s="517"/>
      <c r="Q66" s="560">
        <f>Backup!P98/10^7</f>
        <v>8.8192000000000004</v>
      </c>
      <c r="R66" s="1161">
        <f>Q66/G66*10</f>
        <v>3.7750384407055244</v>
      </c>
      <c r="S66" s="729"/>
    </row>
    <row r="67" spans="1:19">
      <c r="A67" s="176"/>
      <c r="B67" s="205" t="s">
        <v>812</v>
      </c>
      <c r="C67" s="175"/>
      <c r="D67" s="175"/>
      <c r="E67" s="175"/>
      <c r="F67" s="175"/>
      <c r="G67" s="698">
        <f>'F2.1'!Q62</f>
        <v>-3.0873809023248562</v>
      </c>
      <c r="H67" s="4"/>
      <c r="I67" s="1160">
        <f>'F2.1'!$Q$49</f>
        <v>3.6256519735538666E-2</v>
      </c>
      <c r="J67" s="698">
        <f t="shared" si="5"/>
        <v>-2.9754432157085899</v>
      </c>
      <c r="K67" s="4"/>
      <c r="L67" s="1090"/>
      <c r="M67" s="1090"/>
      <c r="N67" s="1090"/>
      <c r="O67" s="1090"/>
      <c r="P67" s="1090"/>
      <c r="Q67" s="698">
        <v>0</v>
      </c>
      <c r="R67" s="531"/>
      <c r="S67" s="540"/>
    </row>
    <row r="68" spans="1:19">
      <c r="A68" s="176"/>
      <c r="B68" s="205" t="s">
        <v>820</v>
      </c>
      <c r="C68" s="175"/>
      <c r="D68" s="175"/>
      <c r="E68" s="175"/>
      <c r="F68" s="175"/>
      <c r="G68" s="698">
        <f>'F2.1'!Q61</f>
        <v>-15.222706282173426</v>
      </c>
      <c r="H68" s="4"/>
      <c r="I68" s="1160">
        <f>'F2.1'!$Q$49</f>
        <v>3.6256519735538666E-2</v>
      </c>
      <c r="J68" s="698">
        <f>G68*(1-I68)</f>
        <v>-14.670783931425497</v>
      </c>
      <c r="K68" s="4"/>
      <c r="L68" s="1090"/>
      <c r="M68" s="1090"/>
      <c r="N68" s="1090"/>
      <c r="O68" s="1090"/>
      <c r="P68" s="1090"/>
      <c r="Q68" s="698">
        <f>Backup!P101/10^7</f>
        <v>-4.7365291711699999</v>
      </c>
      <c r="R68" s="531">
        <f>Q68/G68*10</f>
        <v>3.1114895626126082</v>
      </c>
      <c r="S68" s="540"/>
    </row>
    <row r="69" spans="1:19">
      <c r="A69" s="176"/>
      <c r="B69" s="206" t="s">
        <v>866</v>
      </c>
      <c r="C69" s="174"/>
      <c r="D69" s="174"/>
      <c r="E69" s="174"/>
      <c r="F69" s="174"/>
      <c r="G69" s="698"/>
      <c r="H69" s="1157"/>
      <c r="I69" s="1157"/>
      <c r="J69" s="1157"/>
      <c r="K69" s="1157"/>
      <c r="L69" s="1157"/>
      <c r="M69" s="1157"/>
      <c r="N69" s="1157"/>
      <c r="O69" s="1157"/>
      <c r="P69" s="1157"/>
      <c r="Q69" s="698">
        <f>Backup!P102/10^7</f>
        <v>-0.29974899999999999</v>
      </c>
      <c r="R69" s="531"/>
      <c r="S69" s="540"/>
    </row>
    <row r="70" spans="1:19">
      <c r="A70" s="176"/>
      <c r="B70" s="206" t="s">
        <v>873</v>
      </c>
      <c r="C70" s="174"/>
      <c r="D70" s="174"/>
      <c r="E70" s="174"/>
      <c r="F70" s="174"/>
      <c r="G70" s="698"/>
      <c r="H70" s="1157"/>
      <c r="I70" s="1157"/>
      <c r="J70" s="1157"/>
      <c r="K70" s="1157"/>
      <c r="L70" s="1157"/>
      <c r="M70" s="1157"/>
      <c r="N70" s="1157"/>
      <c r="O70" s="1157"/>
      <c r="P70" s="1157"/>
      <c r="Q70" s="698">
        <f>Backup!P104/10^7+0.2084</f>
        <v>1.2639334999999998</v>
      </c>
      <c r="R70" s="531"/>
      <c r="S70" s="540"/>
    </row>
    <row r="71" spans="1:19">
      <c r="A71" s="176"/>
      <c r="B71" s="206" t="s">
        <v>872</v>
      </c>
      <c r="C71" s="174"/>
      <c r="D71" s="174"/>
      <c r="E71" s="174"/>
      <c r="F71" s="174"/>
      <c r="G71" s="698"/>
      <c r="H71" s="1157"/>
      <c r="I71" s="1157"/>
      <c r="J71" s="1157"/>
      <c r="K71" s="1157"/>
      <c r="L71" s="1157"/>
      <c r="M71" s="1157"/>
      <c r="N71" s="1157"/>
      <c r="O71" s="1157"/>
      <c r="P71" s="1157"/>
      <c r="Q71" s="698">
        <f>Backup!P105/10^7+0.0208624</f>
        <v>0.2599535</v>
      </c>
      <c r="R71" s="531"/>
      <c r="S71" s="540"/>
    </row>
    <row r="72" spans="1:19" ht="18">
      <c r="A72" s="176"/>
      <c r="B72" s="198" t="s">
        <v>115</v>
      </c>
      <c r="C72" s="198"/>
      <c r="D72" s="198"/>
      <c r="E72" s="198"/>
      <c r="F72" s="198"/>
      <c r="G72" s="831">
        <f>SUM(G62:G71)</f>
        <v>86.697447724442071</v>
      </c>
      <c r="H72" s="529"/>
      <c r="I72" s="529"/>
      <c r="J72" s="1094">
        <f>SUM(J62:J71)</f>
        <v>83.554100000000005</v>
      </c>
      <c r="K72" s="529"/>
      <c r="L72" s="529"/>
      <c r="M72" s="529"/>
      <c r="N72" s="529"/>
      <c r="O72" s="529"/>
      <c r="P72" s="529"/>
      <c r="Q72" s="831">
        <f>SUM(Q62:Q71)</f>
        <v>34.393057550830008</v>
      </c>
      <c r="R72" s="1094">
        <f>Q72/G72*10</f>
        <v>3.9670207663026495</v>
      </c>
      <c r="S72" s="540"/>
    </row>
    <row r="73" spans="1:19" ht="18">
      <c r="A73" s="65"/>
      <c r="B73" s="207"/>
      <c r="C73" s="207"/>
      <c r="D73" s="207"/>
      <c r="E73" s="207"/>
      <c r="F73" s="207"/>
      <c r="G73" s="208"/>
      <c r="H73" s="208"/>
      <c r="I73" s="208"/>
      <c r="J73" s="208"/>
      <c r="K73" s="208"/>
      <c r="L73" s="208"/>
      <c r="M73" s="208"/>
      <c r="N73" s="208"/>
      <c r="O73" s="208"/>
      <c r="P73" s="208"/>
      <c r="Q73" s="939">
        <f>+Q72+'F2.2'!H11+'F2.2'!H12</f>
        <v>39.294406950830009</v>
      </c>
      <c r="R73" s="65"/>
    </row>
    <row r="74" spans="1:19" ht="18">
      <c r="A74" s="65"/>
      <c r="B74" s="207"/>
      <c r="C74" s="207"/>
      <c r="D74" s="207"/>
      <c r="E74" s="207"/>
      <c r="F74" s="207"/>
      <c r="G74" s="208"/>
      <c r="H74" s="208"/>
      <c r="I74" s="208"/>
      <c r="J74" s="208"/>
      <c r="K74" s="208"/>
      <c r="L74" s="208"/>
      <c r="M74" s="208"/>
      <c r="N74" s="208"/>
      <c r="O74" s="208"/>
      <c r="P74" s="208"/>
      <c r="Q74" s="208"/>
      <c r="R74" s="65"/>
    </row>
    <row r="75" spans="1:19">
      <c r="B75" s="180" t="s">
        <v>694</v>
      </c>
      <c r="C75" s="180"/>
    </row>
    <row r="77" spans="1:19" s="200" customFormat="1" ht="91.5" customHeight="1">
      <c r="A77" s="201" t="s">
        <v>157</v>
      </c>
      <c r="B77" s="201" t="s">
        <v>235</v>
      </c>
      <c r="C77" s="201" t="s">
        <v>286</v>
      </c>
      <c r="D77" s="201" t="s">
        <v>236</v>
      </c>
      <c r="E77" s="201" t="s">
        <v>237</v>
      </c>
      <c r="F77" s="202" t="s">
        <v>238</v>
      </c>
      <c r="G77" s="202" t="s">
        <v>239</v>
      </c>
      <c r="H77" s="202" t="s">
        <v>287</v>
      </c>
      <c r="I77" s="202" t="s">
        <v>853</v>
      </c>
      <c r="J77" s="202" t="s">
        <v>288</v>
      </c>
      <c r="K77" s="202" t="s">
        <v>240</v>
      </c>
      <c r="L77" s="202" t="s">
        <v>241</v>
      </c>
      <c r="M77" s="202" t="s">
        <v>289</v>
      </c>
      <c r="N77" s="202" t="s">
        <v>242</v>
      </c>
      <c r="O77" s="202" t="s">
        <v>243</v>
      </c>
      <c r="P77" s="202" t="s">
        <v>244</v>
      </c>
      <c r="Q77" s="202" t="s">
        <v>442</v>
      </c>
      <c r="R77" s="202" t="s">
        <v>443</v>
      </c>
    </row>
    <row r="78" spans="1:19">
      <c r="A78" s="203">
        <v>1</v>
      </c>
      <c r="B78" s="203">
        <v>2</v>
      </c>
      <c r="C78" s="203">
        <v>3</v>
      </c>
      <c r="D78" s="203">
        <v>4</v>
      </c>
      <c r="E78" s="203">
        <v>5</v>
      </c>
      <c r="F78" s="203">
        <v>6</v>
      </c>
      <c r="G78" s="203">
        <v>7</v>
      </c>
      <c r="H78" s="203">
        <v>8</v>
      </c>
      <c r="I78" s="203">
        <v>9</v>
      </c>
      <c r="J78" s="203">
        <v>10</v>
      </c>
      <c r="K78" s="203">
        <v>11</v>
      </c>
      <c r="L78" s="203">
        <v>12</v>
      </c>
      <c r="M78" s="203">
        <v>13</v>
      </c>
      <c r="N78" s="203">
        <v>14</v>
      </c>
      <c r="O78" s="203">
        <v>15</v>
      </c>
      <c r="P78" s="203">
        <v>16</v>
      </c>
      <c r="Q78" s="203">
        <v>17</v>
      </c>
      <c r="R78" s="203">
        <v>18</v>
      </c>
    </row>
    <row r="79" spans="1:19" ht="28.5">
      <c r="A79" s="174"/>
      <c r="B79" s="204" t="s">
        <v>290</v>
      </c>
      <c r="C79" s="172"/>
      <c r="D79" s="172"/>
      <c r="E79" s="172"/>
      <c r="F79" s="173"/>
      <c r="G79" s="173"/>
      <c r="H79" s="173"/>
      <c r="I79" s="173"/>
      <c r="J79" s="173"/>
      <c r="K79" s="173"/>
      <c r="L79" s="173"/>
      <c r="M79" s="173"/>
      <c r="N79" s="173"/>
      <c r="O79" s="173"/>
      <c r="P79" s="173"/>
      <c r="Q79" s="174"/>
      <c r="R79" s="174"/>
    </row>
    <row r="80" spans="1:19">
      <c r="A80" s="177"/>
      <c r="B80" s="206" t="s">
        <v>971</v>
      </c>
      <c r="C80" s="727"/>
      <c r="D80" s="727"/>
      <c r="E80" s="727">
        <v>10</v>
      </c>
      <c r="F80" s="727"/>
      <c r="G80" s="725">
        <f>(E80*85%*1000*24*365)/10^6</f>
        <v>74.459999999999994</v>
      </c>
      <c r="H80" s="725"/>
      <c r="I80" s="1254">
        <f>'F2.1'!K$74</f>
        <v>3.5346652827791487E-2</v>
      </c>
      <c r="J80" s="728">
        <f>G80*(1-I80)</f>
        <v>71.828088230442646</v>
      </c>
      <c r="K80" s="728">
        <v>0</v>
      </c>
      <c r="L80" s="728">
        <v>0</v>
      </c>
      <c r="M80" s="725">
        <v>3.72</v>
      </c>
      <c r="N80" s="728">
        <f>M80*G80/10</f>
        <v>27.699120000000001</v>
      </c>
      <c r="O80" s="725"/>
      <c r="P80" s="725"/>
      <c r="Q80" s="1255">
        <f>K80+L80+N80-O80+P80</f>
        <v>27.699120000000001</v>
      </c>
      <c r="R80" s="728">
        <f t="shared" ref="R80:R88" si="6">(Q80/G80)*10</f>
        <v>3.7200000000000006</v>
      </c>
    </row>
    <row r="81" spans="1:18">
      <c r="A81" s="176"/>
      <c r="B81" s="206" t="s">
        <v>972</v>
      </c>
      <c r="C81" s="727"/>
      <c r="D81" s="727"/>
      <c r="E81" s="727">
        <v>10</v>
      </c>
      <c r="F81" s="727"/>
      <c r="G81" s="725">
        <f>(E81*85%*1000*15*22*12)/10^6</f>
        <v>33.659999999999997</v>
      </c>
      <c r="H81" s="725"/>
      <c r="I81" s="1254">
        <f>'F2.1'!K$74</f>
        <v>3.5346652827791487E-2</v>
      </c>
      <c r="J81" s="728">
        <f>G81*(1-I81)</f>
        <v>32.470231665816534</v>
      </c>
      <c r="K81" s="728">
        <v>0</v>
      </c>
      <c r="L81" s="728">
        <v>0</v>
      </c>
      <c r="M81" s="725">
        <v>3.72</v>
      </c>
      <c r="N81" s="728">
        <f>M81*G81/10</f>
        <v>12.521519999999999</v>
      </c>
      <c r="O81" s="725"/>
      <c r="P81" s="725"/>
      <c r="Q81" s="1255">
        <f t="shared" ref="Q81:Q87" si="7">K81+L81+N81-O81+P81</f>
        <v>12.521519999999999</v>
      </c>
      <c r="R81" s="728">
        <f t="shared" si="6"/>
        <v>3.7199999999999998</v>
      </c>
    </row>
    <row r="82" spans="1:18">
      <c r="A82" s="176"/>
      <c r="B82" s="171" t="s">
        <v>973</v>
      </c>
      <c r="C82" s="727"/>
      <c r="D82" s="727"/>
      <c r="E82" s="727"/>
      <c r="F82" s="727"/>
      <c r="G82" s="725"/>
      <c r="H82" s="725"/>
      <c r="I82" s="1254">
        <f>'F2.1'!K$74</f>
        <v>3.5346652827791487E-2</v>
      </c>
      <c r="J82" s="728"/>
      <c r="K82" s="728">
        <v>0</v>
      </c>
      <c r="L82" s="728">
        <v>0</v>
      </c>
      <c r="M82" s="725"/>
      <c r="N82" s="725"/>
      <c r="O82" s="725"/>
      <c r="P82" s="725"/>
      <c r="Q82" s="1255">
        <f t="shared" si="7"/>
        <v>0</v>
      </c>
      <c r="R82" s="728"/>
    </row>
    <row r="83" spans="1:18">
      <c r="A83" s="176"/>
      <c r="B83" s="679" t="s">
        <v>974</v>
      </c>
      <c r="C83" s="727"/>
      <c r="D83" s="727"/>
      <c r="E83" s="727"/>
      <c r="F83" s="727"/>
      <c r="G83" s="725"/>
      <c r="H83" s="725"/>
      <c r="I83" s="1254">
        <f>'F2.1'!K$74</f>
        <v>3.5346652827791487E-2</v>
      </c>
      <c r="J83" s="728"/>
      <c r="K83" s="728">
        <v>0</v>
      </c>
      <c r="L83" s="728">
        <v>0</v>
      </c>
      <c r="M83" s="725"/>
      <c r="N83" s="725"/>
      <c r="O83" s="725"/>
      <c r="P83" s="725"/>
      <c r="Q83" s="1255">
        <f t="shared" si="7"/>
        <v>0</v>
      </c>
      <c r="R83" s="728"/>
    </row>
    <row r="84" spans="1:18">
      <c r="A84" s="176"/>
      <c r="B84" s="205" t="s">
        <v>975</v>
      </c>
      <c r="C84" s="727"/>
      <c r="D84" s="727"/>
      <c r="E84" s="727"/>
      <c r="F84" s="727"/>
      <c r="G84" s="725"/>
      <c r="H84" s="725"/>
      <c r="I84" s="1254">
        <f>'F2.1'!K$74</f>
        <v>3.5346652827791487E-2</v>
      </c>
      <c r="J84" s="728"/>
      <c r="K84" s="728">
        <v>0</v>
      </c>
      <c r="L84" s="728">
        <v>0</v>
      </c>
      <c r="M84" s="725"/>
      <c r="N84" s="725"/>
      <c r="O84" s="725"/>
      <c r="P84" s="725"/>
      <c r="Q84" s="1255">
        <v>0.79</v>
      </c>
      <c r="R84" s="728"/>
    </row>
    <row r="85" spans="1:18">
      <c r="A85" s="176"/>
      <c r="B85" s="206" t="s">
        <v>976</v>
      </c>
      <c r="C85" s="727"/>
      <c r="D85" s="727"/>
      <c r="E85" s="727"/>
      <c r="F85" s="727"/>
      <c r="G85" s="725"/>
      <c r="H85" s="725"/>
      <c r="I85" s="1254">
        <f>'F2.1'!K$74</f>
        <v>3.5346652827791487E-2</v>
      </c>
      <c r="J85" s="728"/>
      <c r="K85" s="728">
        <v>0</v>
      </c>
      <c r="L85" s="728">
        <v>0</v>
      </c>
      <c r="M85" s="1256"/>
      <c r="N85" s="1256"/>
      <c r="O85" s="1256"/>
      <c r="P85" s="1256"/>
      <c r="Q85" s="1255">
        <v>1.77</v>
      </c>
      <c r="R85" s="728"/>
    </row>
    <row r="86" spans="1:18">
      <c r="A86" s="176"/>
      <c r="B86" s="206" t="s">
        <v>820</v>
      </c>
      <c r="C86" s="725"/>
      <c r="D86" s="725"/>
      <c r="E86" s="725"/>
      <c r="F86" s="725"/>
      <c r="G86" s="725"/>
      <c r="H86" s="1257"/>
      <c r="I86" s="1254">
        <f>'F2.1'!K$74</f>
        <v>3.5346652827791487E-2</v>
      </c>
      <c r="J86" s="1268"/>
      <c r="K86" s="728">
        <v>0</v>
      </c>
      <c r="L86" s="728">
        <v>0</v>
      </c>
      <c r="M86" s="1257"/>
      <c r="N86" s="1257"/>
      <c r="O86" s="1257"/>
      <c r="P86" s="1257"/>
      <c r="Q86" s="1255"/>
      <c r="R86" s="728"/>
    </row>
    <row r="87" spans="1:18">
      <c r="A87" s="176"/>
      <c r="B87" s="206" t="s">
        <v>977</v>
      </c>
      <c r="C87" s="725"/>
      <c r="D87" s="725"/>
      <c r="E87" s="725"/>
      <c r="F87" s="725"/>
      <c r="G87" s="728">
        <v>4.07</v>
      </c>
      <c r="H87" s="1257"/>
      <c r="I87" s="1254">
        <f>'F2.1'!K$74</f>
        <v>3.5346652827791487E-2</v>
      </c>
      <c r="J87" s="728">
        <f>G87*(1-I87)</f>
        <v>3.9261391229908891</v>
      </c>
      <c r="K87" s="728">
        <v>0</v>
      </c>
      <c r="L87" s="728">
        <v>0</v>
      </c>
      <c r="M87" s="725">
        <v>3.72</v>
      </c>
      <c r="N87" s="728">
        <f>M87*G87/10</f>
        <v>1.5140400000000001</v>
      </c>
      <c r="O87" s="1257"/>
      <c r="P87" s="1257"/>
      <c r="Q87" s="1255">
        <f t="shared" si="7"/>
        <v>1.5140400000000001</v>
      </c>
      <c r="R87" s="728">
        <f t="shared" si="6"/>
        <v>3.7199999999999998</v>
      </c>
    </row>
    <row r="88" spans="1:18">
      <c r="A88" s="176"/>
      <c r="B88" s="198" t="s">
        <v>115</v>
      </c>
      <c r="C88" s="174"/>
      <c r="D88" s="174"/>
      <c r="E88" s="174"/>
      <c r="F88" s="174"/>
      <c r="G88" s="543">
        <f>SUM(G80:G87)</f>
        <v>112.19</v>
      </c>
      <c r="H88" s="179"/>
      <c r="I88" s="538"/>
      <c r="J88" s="179"/>
      <c r="K88" s="539">
        <v>0</v>
      </c>
      <c r="L88" s="539">
        <v>0</v>
      </c>
      <c r="M88" s="179"/>
      <c r="N88" s="755">
        <f>SUM(N80:N87)</f>
        <v>41.734680000000004</v>
      </c>
      <c r="O88" s="179"/>
      <c r="P88" s="179"/>
      <c r="Q88" s="750">
        <f>SUM(Q80:Q87)</f>
        <v>44.294680000000007</v>
      </c>
      <c r="R88" s="751">
        <f t="shared" si="6"/>
        <v>3.9481843301542034</v>
      </c>
    </row>
    <row r="89" spans="1:18" ht="18" hidden="1">
      <c r="A89" s="65"/>
      <c r="B89" s="207"/>
      <c r="C89" s="207"/>
      <c r="D89" s="207"/>
      <c r="E89" s="198" t="s">
        <v>934</v>
      </c>
      <c r="F89" s="198"/>
      <c r="G89" s="756">
        <f>'F1.4'!H26*ASSUM!J61</f>
        <v>2.2437430450701954</v>
      </c>
      <c r="H89" s="199"/>
      <c r="I89" s="199"/>
      <c r="J89" s="199"/>
      <c r="K89" s="199"/>
      <c r="L89" s="199"/>
      <c r="M89" s="754">
        <v>3500</v>
      </c>
      <c r="N89" s="757">
        <f>M89*G89*1000/10^7</f>
        <v>0.78531006577456841</v>
      </c>
      <c r="O89" s="208"/>
      <c r="P89" s="208"/>
      <c r="Q89" s="208"/>
      <c r="R89" s="65"/>
    </row>
    <row r="90" spans="1:18" ht="18" hidden="1">
      <c r="C90" s="359"/>
      <c r="E90" s="753" t="s">
        <v>1004</v>
      </c>
      <c r="F90" s="753"/>
      <c r="G90" s="752">
        <f>'F1.4'!H26*ASSUM!J62</f>
        <v>11.779650986618526</v>
      </c>
      <c r="H90" s="753"/>
      <c r="I90" s="753"/>
      <c r="J90" s="753"/>
      <c r="K90" s="753"/>
      <c r="L90" s="753"/>
      <c r="M90" s="753">
        <v>1500</v>
      </c>
      <c r="N90" s="757">
        <f>M90*G90*1000/10^7</f>
        <v>1.7669476479927786</v>
      </c>
    </row>
    <row r="91" spans="1:18" ht="18">
      <c r="B91" s="791"/>
      <c r="C91" s="791"/>
      <c r="E91" s="378"/>
      <c r="F91" s="378"/>
      <c r="G91" s="825"/>
      <c r="H91" s="378"/>
      <c r="I91" s="378"/>
      <c r="J91" s="378"/>
      <c r="K91" s="378"/>
      <c r="L91" s="378"/>
      <c r="M91" s="378"/>
      <c r="N91" s="826"/>
    </row>
    <row r="92" spans="1:18" ht="18">
      <c r="B92" s="359" t="s">
        <v>693</v>
      </c>
      <c r="C92" s="791"/>
      <c r="E92" s="378"/>
      <c r="F92" s="378"/>
      <c r="G92" s="825"/>
      <c r="H92" s="378"/>
      <c r="I92" s="378"/>
      <c r="J92" s="378"/>
      <c r="K92" s="378"/>
      <c r="L92" s="378"/>
      <c r="M92" s="378"/>
      <c r="N92" s="826"/>
    </row>
    <row r="94" spans="1:18" ht="85.5">
      <c r="A94" s="201" t="s">
        <v>157</v>
      </c>
      <c r="B94" s="201" t="s">
        <v>235</v>
      </c>
      <c r="C94" s="201" t="s">
        <v>286</v>
      </c>
      <c r="D94" s="201" t="s">
        <v>236</v>
      </c>
      <c r="E94" s="201" t="s">
        <v>237</v>
      </c>
      <c r="F94" s="202" t="s">
        <v>238</v>
      </c>
      <c r="G94" s="202" t="s">
        <v>239</v>
      </c>
      <c r="H94" s="202" t="s">
        <v>287</v>
      </c>
      <c r="I94" s="202" t="s">
        <v>853</v>
      </c>
      <c r="J94" s="202" t="s">
        <v>288</v>
      </c>
      <c r="K94" s="202" t="s">
        <v>240</v>
      </c>
      <c r="L94" s="202" t="s">
        <v>241</v>
      </c>
      <c r="M94" s="202" t="s">
        <v>289</v>
      </c>
      <c r="N94" s="202" t="s">
        <v>242</v>
      </c>
      <c r="O94" s="202" t="s">
        <v>243</v>
      </c>
      <c r="P94" s="202" t="s">
        <v>244</v>
      </c>
      <c r="Q94" s="202" t="s">
        <v>442</v>
      </c>
      <c r="R94" s="202" t="s">
        <v>443</v>
      </c>
    </row>
    <row r="95" spans="1:18">
      <c r="A95" s="203">
        <v>1</v>
      </c>
      <c r="B95" s="203">
        <v>2</v>
      </c>
      <c r="C95" s="203">
        <v>3</v>
      </c>
      <c r="D95" s="203">
        <v>4</v>
      </c>
      <c r="E95" s="203">
        <v>5</v>
      </c>
      <c r="F95" s="203">
        <v>6</v>
      </c>
      <c r="G95" s="203">
        <v>7</v>
      </c>
      <c r="H95" s="203">
        <v>8</v>
      </c>
      <c r="I95" s="203">
        <v>9</v>
      </c>
      <c r="J95" s="203">
        <v>10</v>
      </c>
      <c r="K95" s="203">
        <v>11</v>
      </c>
      <c r="L95" s="203">
        <v>12</v>
      </c>
      <c r="M95" s="203">
        <v>13</v>
      </c>
      <c r="N95" s="203">
        <v>14</v>
      </c>
      <c r="O95" s="203">
        <v>15</v>
      </c>
      <c r="P95" s="203">
        <v>16</v>
      </c>
      <c r="Q95" s="203">
        <v>17</v>
      </c>
      <c r="R95" s="203">
        <v>18</v>
      </c>
    </row>
    <row r="96" spans="1:18">
      <c r="A96" s="174"/>
      <c r="B96" s="204" t="s">
        <v>867</v>
      </c>
      <c r="C96" s="172"/>
      <c r="D96" s="172"/>
      <c r="E96" s="172"/>
      <c r="F96" s="173"/>
      <c r="G96" s="173"/>
      <c r="H96" s="173"/>
      <c r="I96" s="173"/>
      <c r="J96" s="173"/>
      <c r="K96" s="173"/>
      <c r="L96" s="173"/>
      <c r="M96" s="173"/>
      <c r="N96" s="173"/>
      <c r="O96" s="173"/>
      <c r="P96" s="173"/>
      <c r="Q96" s="174"/>
      <c r="R96" s="174"/>
    </row>
    <row r="97" spans="1:21">
      <c r="A97" s="177"/>
      <c r="B97" s="205" t="s">
        <v>1010</v>
      </c>
      <c r="C97" s="175"/>
      <c r="D97" s="175"/>
      <c r="E97" s="175">
        <v>10</v>
      </c>
      <c r="F97" s="175"/>
      <c r="G97" s="698">
        <f>'F2.1'!Q79</f>
        <v>77.508804478127061</v>
      </c>
      <c r="H97" s="4"/>
      <c r="I97" s="1097">
        <f>'F2.1'!Q74</f>
        <v>3.3020772099547083E-2</v>
      </c>
      <c r="J97" s="698">
        <f>G97*(1-I97)</f>
        <v>74.949403909746465</v>
      </c>
      <c r="K97" s="4"/>
      <c r="L97" s="4"/>
      <c r="M97" s="698">
        <f>+'F2.1'!D79</f>
        <v>3.8730327000000004</v>
      </c>
      <c r="N97" s="4"/>
      <c r="O97" s="4"/>
      <c r="P97" s="4"/>
      <c r="Q97" s="698">
        <f>Backup!P108/10^7</f>
        <v>27.35738512</v>
      </c>
      <c r="R97" s="531">
        <f t="shared" ref="R97:R98" si="8">Q97/G97*10</f>
        <v>3.5295841942343777</v>
      </c>
      <c r="S97" s="544"/>
    </row>
    <row r="98" spans="1:21">
      <c r="A98" s="176"/>
      <c r="B98" s="206" t="s">
        <v>813</v>
      </c>
      <c r="C98" s="175"/>
      <c r="D98" s="175"/>
      <c r="E98" s="175">
        <v>10</v>
      </c>
      <c r="F98" s="175"/>
      <c r="G98" s="698">
        <f>'F2.1'!Q80</f>
        <v>27.900903000000003</v>
      </c>
      <c r="H98" s="4"/>
      <c r="I98" s="1097">
        <f>I97</f>
        <v>3.3020772099547083E-2</v>
      </c>
      <c r="J98" s="698">
        <f>G98*(1-I98)</f>
        <v>26.979593640665431</v>
      </c>
      <c r="K98" s="4"/>
      <c r="L98" s="4"/>
      <c r="M98" s="698">
        <f>+'F2.1'!D80</f>
        <v>4.0219360000000002</v>
      </c>
      <c r="N98" s="4"/>
      <c r="O98" s="4"/>
      <c r="P98" s="4"/>
      <c r="Q98" s="698">
        <f>Backup!P109/10^7</f>
        <v>11.204331399999999</v>
      </c>
      <c r="R98" s="531">
        <f t="shared" si="8"/>
        <v>4.0157594182525198</v>
      </c>
      <c r="S98" s="544"/>
      <c r="T98" s="544">
        <f>+SUMPRODUCT(Q97:Q98,R97:R98)/SUM(Q97:Q98)</f>
        <v>3.6708452380871139</v>
      </c>
    </row>
    <row r="99" spans="1:21">
      <c r="A99" s="176"/>
      <c r="B99" s="206"/>
      <c r="C99" s="175"/>
      <c r="D99" s="175"/>
      <c r="E99" s="175"/>
      <c r="F99" s="175"/>
      <c r="G99" s="698"/>
      <c r="H99" s="4"/>
      <c r="I99" s="4"/>
      <c r="J99" s="698"/>
      <c r="K99" s="4"/>
      <c r="L99" s="4"/>
      <c r="M99" s="4"/>
      <c r="N99" s="4"/>
      <c r="O99" s="4"/>
      <c r="P99" s="4"/>
      <c r="Q99" s="698"/>
      <c r="R99" s="698"/>
      <c r="S99" s="544"/>
    </row>
    <row r="100" spans="1:21">
      <c r="A100" s="176"/>
      <c r="B100" s="205" t="s">
        <v>812</v>
      </c>
      <c r="C100" s="175"/>
      <c r="D100" s="175"/>
      <c r="E100" s="175"/>
      <c r="F100" s="175"/>
      <c r="G100" s="698">
        <f>'F2.1'!Q82</f>
        <v>-2.6438002381021528</v>
      </c>
      <c r="H100" s="4"/>
      <c r="I100" s="1097">
        <f>I98</f>
        <v>3.3020772099547083E-2</v>
      </c>
      <c r="J100" s="698">
        <f>G100*(1-I100)</f>
        <v>-2.5564999129630532</v>
      </c>
      <c r="K100" s="4"/>
      <c r="L100" s="1090"/>
      <c r="M100" s="1090"/>
      <c r="N100" s="1090"/>
      <c r="O100" s="1090"/>
      <c r="P100" s="1090"/>
      <c r="Q100" s="698">
        <v>0</v>
      </c>
      <c r="R100" s="698"/>
      <c r="S100" s="544"/>
    </row>
    <row r="101" spans="1:21">
      <c r="A101" s="176"/>
      <c r="B101" s="206" t="s">
        <v>875</v>
      </c>
      <c r="C101" s="174"/>
      <c r="D101" s="174"/>
      <c r="E101" s="174"/>
      <c r="F101" s="174"/>
      <c r="G101" s="698">
        <f>'F2.1'!Q81</f>
        <v>-15.717915337694832</v>
      </c>
      <c r="H101" s="1157"/>
      <c r="I101" s="1097">
        <f>I100</f>
        <v>3.3020772099547083E-2</v>
      </c>
      <c r="J101" s="698">
        <f>G101*(1-I101)</f>
        <v>-15.198897637448834</v>
      </c>
      <c r="K101" s="1157"/>
      <c r="L101" s="1157"/>
      <c r="M101" s="1157"/>
      <c r="N101" s="1157"/>
      <c r="O101" s="1157"/>
      <c r="P101" s="1157"/>
      <c r="Q101" s="698">
        <f>Backup!P110/10^7</f>
        <v>-6.2341474158799999</v>
      </c>
      <c r="R101" s="531">
        <f>Q101/G101*10</f>
        <v>3.9662686061994599</v>
      </c>
      <c r="S101" s="544"/>
      <c r="U101" s="1079" t="e">
        <f>+(Q101+#REF!)/(#REF!+G101)*10</f>
        <v>#REF!</v>
      </c>
    </row>
    <row r="102" spans="1:21">
      <c r="A102" s="176"/>
      <c r="B102" s="206" t="s">
        <v>866</v>
      </c>
      <c r="C102" s="174"/>
      <c r="D102" s="174"/>
      <c r="E102" s="174"/>
      <c r="F102" s="174"/>
      <c r="G102" s="698"/>
      <c r="H102" s="1157"/>
      <c r="I102" s="1157"/>
      <c r="J102" s="1158"/>
      <c r="K102" s="1157"/>
      <c r="L102" s="1157"/>
      <c r="M102" s="1157"/>
      <c r="N102" s="1157"/>
      <c r="O102" s="1157"/>
      <c r="P102" s="1157"/>
      <c r="Q102" s="698">
        <f>Backup!P111/10^7</f>
        <v>-0.35356653903836005</v>
      </c>
      <c r="R102" s="698"/>
      <c r="S102" s="544"/>
    </row>
    <row r="103" spans="1:21">
      <c r="A103" s="176"/>
      <c r="B103" s="206" t="s">
        <v>873</v>
      </c>
      <c r="C103" s="174"/>
      <c r="D103" s="174"/>
      <c r="E103" s="174"/>
      <c r="F103" s="174"/>
      <c r="G103" s="698"/>
      <c r="H103" s="1157"/>
      <c r="I103" s="1157"/>
      <c r="J103" s="1158"/>
      <c r="K103" s="1157"/>
      <c r="L103" s="1157"/>
      <c r="M103" s="1157"/>
      <c r="N103" s="1157"/>
      <c r="O103" s="1157"/>
      <c r="P103" s="1157"/>
      <c r="Q103" s="698">
        <f>Backup!P113/10^7</f>
        <v>1.5084500000000001</v>
      </c>
      <c r="R103" s="531"/>
      <c r="S103" s="544"/>
    </row>
    <row r="104" spans="1:21" ht="18">
      <c r="A104" s="176"/>
      <c r="B104" s="175" t="s">
        <v>872</v>
      </c>
      <c r="C104" s="198"/>
      <c r="D104" s="198"/>
      <c r="E104" s="198"/>
      <c r="F104" s="198"/>
      <c r="G104" s="1162"/>
      <c r="H104" s="529"/>
      <c r="I104" s="529"/>
      <c r="J104" s="1162"/>
      <c r="K104" s="529"/>
      <c r="L104" s="529"/>
      <c r="M104" s="529"/>
      <c r="N104" s="529"/>
      <c r="O104" s="529"/>
      <c r="P104" s="529"/>
      <c r="Q104" s="698">
        <f>Backup!P114/10^7</f>
        <v>2.08624E-2</v>
      </c>
      <c r="R104" s="698"/>
      <c r="S104" s="544"/>
    </row>
    <row r="105" spans="1:21" ht="17.25">
      <c r="A105" s="176"/>
      <c r="B105" s="198" t="s">
        <v>115</v>
      </c>
      <c r="C105" s="198"/>
      <c r="D105" s="198"/>
      <c r="E105" s="198"/>
      <c r="F105" s="198"/>
      <c r="G105" s="831">
        <f>SUM(G97:G104)</f>
        <v>87.047991902330068</v>
      </c>
      <c r="H105" s="1159"/>
      <c r="I105" s="1159"/>
      <c r="J105" s="831">
        <f>SUM(J97:J104)</f>
        <v>84.173600000000008</v>
      </c>
      <c r="K105" s="1159"/>
      <c r="L105" s="1159"/>
      <c r="M105" s="1159"/>
      <c r="N105" s="1159"/>
      <c r="O105" s="1159"/>
      <c r="P105" s="1159"/>
      <c r="Q105" s="1094">
        <f>SUM(Q97:Q104)</f>
        <v>33.503314965081636</v>
      </c>
      <c r="R105" s="831">
        <f>+Q105/G105*10</f>
        <v>3.8488326074969264</v>
      </c>
      <c r="S105" s="544"/>
    </row>
    <row r="106" spans="1:21" ht="17.25">
      <c r="A106" s="65"/>
      <c r="B106" s="207"/>
      <c r="C106" s="207"/>
      <c r="D106" s="207"/>
      <c r="E106" s="207"/>
      <c r="F106" s="207"/>
      <c r="G106" s="545"/>
      <c r="H106" s="546"/>
      <c r="I106" s="546"/>
      <c r="J106" s="545"/>
      <c r="K106" s="546"/>
      <c r="L106" s="546"/>
      <c r="M106" s="546"/>
      <c r="N106" s="546"/>
      <c r="O106" s="546"/>
      <c r="P106" s="546"/>
      <c r="Q106" s="545"/>
      <c r="R106" s="547"/>
      <c r="S106" s="544"/>
    </row>
    <row r="107" spans="1:21">
      <c r="B107" s="374" t="s">
        <v>726</v>
      </c>
      <c r="C107" s="374"/>
    </row>
    <row r="109" spans="1:21" s="200" customFormat="1" ht="85.5">
      <c r="A109" s="201" t="s">
        <v>157</v>
      </c>
      <c r="B109" s="201" t="s">
        <v>235</v>
      </c>
      <c r="C109" s="201" t="s">
        <v>286</v>
      </c>
      <c r="D109" s="201" t="s">
        <v>236</v>
      </c>
      <c r="E109" s="201" t="s">
        <v>237</v>
      </c>
      <c r="F109" s="202" t="s">
        <v>238</v>
      </c>
      <c r="G109" s="202" t="s">
        <v>239</v>
      </c>
      <c r="H109" s="202" t="s">
        <v>287</v>
      </c>
      <c r="I109" s="202" t="s">
        <v>853</v>
      </c>
      <c r="J109" s="202" t="s">
        <v>288</v>
      </c>
      <c r="K109" s="202" t="s">
        <v>240</v>
      </c>
      <c r="L109" s="202" t="s">
        <v>241</v>
      </c>
      <c r="M109" s="202" t="s">
        <v>289</v>
      </c>
      <c r="N109" s="202" t="s">
        <v>242</v>
      </c>
      <c r="O109" s="202" t="s">
        <v>243</v>
      </c>
      <c r="P109" s="202" t="s">
        <v>244</v>
      </c>
      <c r="Q109" s="202" t="s">
        <v>442</v>
      </c>
      <c r="R109" s="202" t="s">
        <v>443</v>
      </c>
    </row>
    <row r="110" spans="1:21">
      <c r="A110" s="203">
        <v>1</v>
      </c>
      <c r="B110" s="203">
        <v>2</v>
      </c>
      <c r="C110" s="203">
        <v>3</v>
      </c>
      <c r="D110" s="203">
        <v>4</v>
      </c>
      <c r="E110" s="203">
        <v>5</v>
      </c>
      <c r="F110" s="203">
        <v>6</v>
      </c>
      <c r="G110" s="203">
        <v>7</v>
      </c>
      <c r="H110" s="203">
        <v>8</v>
      </c>
      <c r="I110" s="203">
        <v>9</v>
      </c>
      <c r="J110" s="203">
        <v>10</v>
      </c>
      <c r="K110" s="203">
        <v>11</v>
      </c>
      <c r="L110" s="203">
        <v>12</v>
      </c>
      <c r="M110" s="203">
        <v>13</v>
      </c>
      <c r="N110" s="203">
        <v>14</v>
      </c>
      <c r="O110" s="203">
        <v>15</v>
      </c>
      <c r="P110" s="203">
        <v>16</v>
      </c>
      <c r="Q110" s="203">
        <v>17</v>
      </c>
      <c r="R110" s="203">
        <v>18</v>
      </c>
    </row>
    <row r="111" spans="1:21" ht="28.5">
      <c r="A111" s="174"/>
      <c r="B111" s="204" t="s">
        <v>290</v>
      </c>
      <c r="C111" s="172"/>
      <c r="D111" s="172"/>
      <c r="E111" s="172"/>
      <c r="F111" s="173"/>
      <c r="G111" s="173"/>
      <c r="H111" s="173"/>
      <c r="I111" s="173"/>
      <c r="J111" s="173"/>
      <c r="K111" s="173"/>
      <c r="L111" s="173"/>
      <c r="M111" s="173"/>
      <c r="N111" s="173"/>
      <c r="O111" s="173"/>
      <c r="P111" s="173"/>
      <c r="Q111" s="174"/>
      <c r="R111" s="174"/>
    </row>
    <row r="112" spans="1:21">
      <c r="A112" s="1203">
        <v>1</v>
      </c>
      <c r="B112" s="206" t="s">
        <v>971</v>
      </c>
      <c r="C112" s="828"/>
      <c r="D112" s="828"/>
      <c r="E112" s="828">
        <v>10</v>
      </c>
      <c r="F112" s="828"/>
      <c r="G112" s="728">
        <f>(E112*85%*1000*24*365)/10^6</f>
        <v>74.459999999999994</v>
      </c>
      <c r="H112" s="728"/>
      <c r="I112" s="1270">
        <f>'F2.1'!K$74</f>
        <v>3.5346652827791487E-2</v>
      </c>
      <c r="J112" s="728">
        <f>G112*(1-I112)</f>
        <v>71.828088230442646</v>
      </c>
      <c r="K112" s="728">
        <v>0</v>
      </c>
      <c r="L112" s="728">
        <v>0</v>
      </c>
      <c r="M112" s="728">
        <v>3.72</v>
      </c>
      <c r="N112" s="728">
        <f>M112*G112/10</f>
        <v>27.699120000000001</v>
      </c>
      <c r="O112" s="728"/>
      <c r="P112" s="728"/>
      <c r="Q112" s="728">
        <f t="shared" ref="Q112:Q113" si="9">K112+L112+N112-O112+P112</f>
        <v>27.699120000000001</v>
      </c>
      <c r="R112" s="728">
        <f t="shared" ref="R112:R113" si="10">(Q112/G112)*10</f>
        <v>3.7200000000000006</v>
      </c>
    </row>
    <row r="113" spans="1:18">
      <c r="A113" s="1203">
        <f>+A112+1</f>
        <v>2</v>
      </c>
      <c r="B113" s="206" t="s">
        <v>972</v>
      </c>
      <c r="C113" s="828"/>
      <c r="D113" s="828"/>
      <c r="E113" s="828">
        <v>10</v>
      </c>
      <c r="F113" s="828"/>
      <c r="G113" s="728">
        <f>(E113*85%*1000*15*22*12)/10^6</f>
        <v>33.659999999999997</v>
      </c>
      <c r="H113" s="728"/>
      <c r="I113" s="1270">
        <f>'F2.1'!K$74</f>
        <v>3.5346652827791487E-2</v>
      </c>
      <c r="J113" s="728">
        <f>G113*(1-I113)</f>
        <v>32.470231665816534</v>
      </c>
      <c r="K113" s="728">
        <v>0</v>
      </c>
      <c r="L113" s="728">
        <v>0</v>
      </c>
      <c r="M113" s="728">
        <v>3.72</v>
      </c>
      <c r="N113" s="728">
        <f>M113*G113/10</f>
        <v>12.521519999999999</v>
      </c>
      <c r="O113" s="728"/>
      <c r="P113" s="728"/>
      <c r="Q113" s="728">
        <f t="shared" si="9"/>
        <v>12.521519999999999</v>
      </c>
      <c r="R113" s="728">
        <f t="shared" si="10"/>
        <v>3.7199999999999998</v>
      </c>
    </row>
    <row r="114" spans="1:18">
      <c r="A114" s="1203">
        <f t="shared" ref="A114:A120" si="11">+A113+1</f>
        <v>3</v>
      </c>
      <c r="B114" s="171" t="s">
        <v>973</v>
      </c>
      <c r="C114" s="828"/>
      <c r="D114" s="828"/>
      <c r="E114" s="828"/>
      <c r="F114" s="828"/>
      <c r="G114" s="728">
        <v>0</v>
      </c>
      <c r="H114" s="728"/>
      <c r="I114" s="1270"/>
      <c r="J114" s="728"/>
      <c r="K114" s="728">
        <v>0</v>
      </c>
      <c r="L114" s="728">
        <v>0</v>
      </c>
      <c r="M114" s="728">
        <v>0</v>
      </c>
      <c r="N114" s="728">
        <v>0</v>
      </c>
      <c r="O114" s="728"/>
      <c r="P114" s="728"/>
      <c r="Q114" s="728">
        <v>0</v>
      </c>
      <c r="R114" s="728"/>
    </row>
    <row r="115" spans="1:18">
      <c r="A115" s="1203">
        <f t="shared" si="11"/>
        <v>4</v>
      </c>
      <c r="B115" s="679" t="s">
        <v>974</v>
      </c>
      <c r="C115" s="828"/>
      <c r="D115" s="828"/>
      <c r="E115" s="828"/>
      <c r="F115" s="828"/>
      <c r="G115" s="728">
        <v>0</v>
      </c>
      <c r="H115" s="728"/>
      <c r="I115" s="1270"/>
      <c r="J115" s="728"/>
      <c r="K115" s="728">
        <v>0</v>
      </c>
      <c r="L115" s="728">
        <v>0</v>
      </c>
      <c r="M115" s="728">
        <v>0</v>
      </c>
      <c r="N115" s="728">
        <v>0</v>
      </c>
      <c r="O115" s="728"/>
      <c r="P115" s="728"/>
      <c r="Q115" s="728">
        <v>0</v>
      </c>
      <c r="R115" s="728"/>
    </row>
    <row r="116" spans="1:18">
      <c r="A116" s="1203">
        <f t="shared" si="11"/>
        <v>5</v>
      </c>
      <c r="B116" s="205" t="s">
        <v>975</v>
      </c>
      <c r="C116" s="828"/>
      <c r="D116" s="828"/>
      <c r="E116" s="828"/>
      <c r="F116" s="828"/>
      <c r="G116" s="728">
        <v>0</v>
      </c>
      <c r="H116" s="728"/>
      <c r="I116" s="1270">
        <f>'F2.1'!K$74</f>
        <v>3.5346652827791487E-2</v>
      </c>
      <c r="J116" s="728"/>
      <c r="K116" s="728">
        <v>0</v>
      </c>
      <c r="L116" s="728">
        <v>0</v>
      </c>
      <c r="M116" s="728">
        <v>0</v>
      </c>
      <c r="N116" s="728">
        <v>0</v>
      </c>
      <c r="O116" s="728"/>
      <c r="P116" s="728"/>
      <c r="Q116" s="728">
        <f>N121</f>
        <v>1.1329446769849709</v>
      </c>
      <c r="R116" s="728"/>
    </row>
    <row r="117" spans="1:18">
      <c r="A117" s="1203">
        <f t="shared" si="11"/>
        <v>6</v>
      </c>
      <c r="B117" s="206" t="s">
        <v>976</v>
      </c>
      <c r="C117" s="828"/>
      <c r="D117" s="828"/>
      <c r="E117" s="828"/>
      <c r="F117" s="828"/>
      <c r="G117" s="728">
        <v>0</v>
      </c>
      <c r="H117" s="728"/>
      <c r="I117" s="1270">
        <f>'F2.1'!K$74</f>
        <v>3.5346652827791487E-2</v>
      </c>
      <c r="J117" s="728"/>
      <c r="K117" s="728">
        <v>0</v>
      </c>
      <c r="L117" s="728">
        <v>0</v>
      </c>
      <c r="M117" s="728">
        <v>0</v>
      </c>
      <c r="N117" s="728">
        <v>0</v>
      </c>
      <c r="O117" s="1259"/>
      <c r="P117" s="1259"/>
      <c r="Q117" s="728">
        <f>N122</f>
        <v>1.9421908748313788</v>
      </c>
      <c r="R117" s="728"/>
    </row>
    <row r="118" spans="1:18">
      <c r="A118" s="1203">
        <f t="shared" si="11"/>
        <v>7</v>
      </c>
      <c r="B118" s="206" t="s">
        <v>820</v>
      </c>
      <c r="C118" s="728"/>
      <c r="D118" s="728"/>
      <c r="E118" s="728"/>
      <c r="F118" s="728"/>
      <c r="G118" s="728">
        <f>'F1.4'!J25</f>
        <v>-1.4621314315803602E-3</v>
      </c>
      <c r="H118" s="1268"/>
      <c r="I118" s="1270">
        <f>'F2.1'!K$74</f>
        <v>3.5346652827791487E-2</v>
      </c>
      <c r="J118" s="728">
        <f>G118*(1-I118)</f>
        <v>-1.4104499794796875E-3</v>
      </c>
      <c r="K118" s="728">
        <v>0</v>
      </c>
      <c r="L118" s="728">
        <v>0</v>
      </c>
      <c r="M118" s="728">
        <v>3.72</v>
      </c>
      <c r="N118" s="728">
        <f>M118*G118/10</f>
        <v>-5.4391289254789401E-4</v>
      </c>
      <c r="O118" s="1268"/>
      <c r="P118" s="1268"/>
      <c r="Q118" s="728">
        <f t="shared" ref="Q118:Q119" si="12">K118+L118+N118-O118+P118</f>
        <v>-5.4391289254789401E-4</v>
      </c>
      <c r="R118" s="728"/>
    </row>
    <row r="119" spans="1:18">
      <c r="A119" s="1203">
        <f t="shared" si="11"/>
        <v>8</v>
      </c>
      <c r="B119" s="206" t="s">
        <v>977</v>
      </c>
      <c r="C119" s="728"/>
      <c r="D119" s="728"/>
      <c r="E119" s="728"/>
      <c r="F119" s="728"/>
      <c r="G119" s="728">
        <v>9.59</v>
      </c>
      <c r="H119" s="1268"/>
      <c r="I119" s="1270">
        <f>'F2.1'!K$74</f>
        <v>3.5346652827791487E-2</v>
      </c>
      <c r="J119" s="1268"/>
      <c r="K119" s="728">
        <v>0</v>
      </c>
      <c r="L119" s="728">
        <v>0</v>
      </c>
      <c r="M119" s="728">
        <v>3.72</v>
      </c>
      <c r="N119" s="728">
        <f>M119*G119/10</f>
        <v>3.5674800000000007</v>
      </c>
      <c r="O119" s="1268"/>
      <c r="P119" s="1268"/>
      <c r="Q119" s="728">
        <f t="shared" si="12"/>
        <v>3.5674800000000007</v>
      </c>
      <c r="R119" s="728"/>
    </row>
    <row r="120" spans="1:18">
      <c r="A120" s="1266">
        <f t="shared" si="11"/>
        <v>9</v>
      </c>
      <c r="B120" s="198" t="s">
        <v>115</v>
      </c>
      <c r="C120" s="728"/>
      <c r="D120" s="728"/>
      <c r="E120" s="728"/>
      <c r="F120" s="728"/>
      <c r="G120" s="938">
        <f>SUM(G112:G119)</f>
        <v>117.70853786856841</v>
      </c>
      <c r="H120" s="1269"/>
      <c r="I120" s="1269"/>
      <c r="J120" s="938">
        <f>SUM(J112:J119)</f>
        <v>104.29690944627971</v>
      </c>
      <c r="K120" s="728">
        <v>0</v>
      </c>
      <c r="L120" s="728">
        <v>0</v>
      </c>
      <c r="M120" s="1268"/>
      <c r="N120" s="1268"/>
      <c r="O120" s="1268"/>
      <c r="P120" s="1268"/>
      <c r="Q120" s="938">
        <f>SUM(Q112:Q119)</f>
        <v>46.862711638923805</v>
      </c>
      <c r="R120" s="938">
        <f t="shared" ref="R120" si="13">(Q120/G120)*10</f>
        <v>3.9812500000000006</v>
      </c>
    </row>
    <row r="121" spans="1:18" ht="18">
      <c r="A121" s="65"/>
      <c r="B121" s="207"/>
      <c r="C121" s="207"/>
      <c r="D121" s="207"/>
      <c r="E121" s="175" t="s">
        <v>934</v>
      </c>
      <c r="F121" s="198"/>
      <c r="G121" s="539">
        <f>'F1.4'!J26*ASSUM!K61</f>
        <v>3.2369847913856313</v>
      </c>
      <c r="H121" s="199"/>
      <c r="I121" s="199"/>
      <c r="J121" s="199"/>
      <c r="K121" s="199"/>
      <c r="L121" s="199"/>
      <c r="M121" s="1267">
        <v>3500</v>
      </c>
      <c r="N121" s="539">
        <f>M121*G121*1000/10^7</f>
        <v>1.1329446769849709</v>
      </c>
      <c r="O121" s="208"/>
      <c r="P121" s="208"/>
      <c r="Q121" s="208"/>
      <c r="R121" s="65"/>
    </row>
    <row r="122" spans="1:18">
      <c r="C122" s="180"/>
      <c r="E122" s="753" t="s">
        <v>1004</v>
      </c>
      <c r="F122" s="753"/>
      <c r="G122" s="539">
        <f>'F1.4'!J26*ASSUM!K62</f>
        <v>12.947939165542525</v>
      </c>
      <c r="H122" s="753"/>
      <c r="I122" s="753"/>
      <c r="J122" s="753"/>
      <c r="K122" s="753"/>
      <c r="L122" s="753"/>
      <c r="M122" s="1267">
        <v>1500</v>
      </c>
      <c r="N122" s="539">
        <f>M122*G122*1000/10^7</f>
        <v>1.9421908748313788</v>
      </c>
    </row>
    <row r="123" spans="1:18" ht="18">
      <c r="B123" s="791"/>
      <c r="C123" s="791"/>
      <c r="E123" s="378"/>
      <c r="F123" s="378"/>
      <c r="G123" s="827"/>
      <c r="H123" s="378"/>
      <c r="I123" s="378"/>
      <c r="J123" s="378"/>
      <c r="K123" s="378"/>
      <c r="L123" s="378"/>
      <c r="M123" s="378"/>
      <c r="N123" s="826"/>
    </row>
    <row r="124" spans="1:18" ht="18">
      <c r="B124" s="374" t="s">
        <v>684</v>
      </c>
      <c r="C124" s="791"/>
      <c r="E124" s="378"/>
      <c r="F124" s="378"/>
      <c r="G124" s="827"/>
      <c r="H124" s="378"/>
      <c r="I124" s="378"/>
      <c r="J124" s="378"/>
      <c r="K124" s="378"/>
      <c r="L124" s="378"/>
      <c r="M124" s="378"/>
      <c r="N124" s="826"/>
    </row>
    <row r="126" spans="1:18" s="200" customFormat="1" ht="85.5">
      <c r="A126" s="201" t="s">
        <v>157</v>
      </c>
      <c r="B126" s="201" t="s">
        <v>235</v>
      </c>
      <c r="C126" s="201" t="s">
        <v>286</v>
      </c>
      <c r="D126" s="201" t="s">
        <v>236</v>
      </c>
      <c r="E126" s="201" t="s">
        <v>237</v>
      </c>
      <c r="F126" s="202" t="s">
        <v>238</v>
      </c>
      <c r="G126" s="202" t="s">
        <v>239</v>
      </c>
      <c r="H126" s="202" t="s">
        <v>287</v>
      </c>
      <c r="I126" s="202" t="s">
        <v>853</v>
      </c>
      <c r="J126" s="202" t="s">
        <v>288</v>
      </c>
      <c r="K126" s="202" t="s">
        <v>240</v>
      </c>
      <c r="L126" s="202" t="s">
        <v>241</v>
      </c>
      <c r="M126" s="202" t="s">
        <v>289</v>
      </c>
      <c r="N126" s="202" t="s">
        <v>242</v>
      </c>
      <c r="O126" s="202" t="s">
        <v>243</v>
      </c>
      <c r="P126" s="202" t="s">
        <v>244</v>
      </c>
      <c r="Q126" s="202" t="s">
        <v>442</v>
      </c>
      <c r="R126" s="202" t="s">
        <v>443</v>
      </c>
    </row>
    <row r="127" spans="1:18">
      <c r="A127" s="203">
        <v>1</v>
      </c>
      <c r="B127" s="203">
        <v>2</v>
      </c>
      <c r="C127" s="203">
        <v>3</v>
      </c>
      <c r="D127" s="203">
        <v>4</v>
      </c>
      <c r="E127" s="203">
        <v>5</v>
      </c>
      <c r="F127" s="203">
        <v>6</v>
      </c>
      <c r="G127" s="203">
        <v>7</v>
      </c>
      <c r="H127" s="203">
        <v>8</v>
      </c>
      <c r="I127" s="203">
        <v>9</v>
      </c>
      <c r="J127" s="203">
        <v>10</v>
      </c>
      <c r="K127" s="203">
        <v>11</v>
      </c>
      <c r="L127" s="203">
        <v>12</v>
      </c>
      <c r="M127" s="203">
        <v>13</v>
      </c>
      <c r="N127" s="203">
        <v>14</v>
      </c>
      <c r="O127" s="203">
        <v>15</v>
      </c>
      <c r="P127" s="203">
        <v>16</v>
      </c>
      <c r="Q127" s="203">
        <v>17</v>
      </c>
      <c r="R127" s="203">
        <v>18</v>
      </c>
    </row>
    <row r="128" spans="1:18">
      <c r="A128" s="174"/>
      <c r="B128" s="204" t="s">
        <v>867</v>
      </c>
      <c r="C128" s="172"/>
      <c r="D128" s="172"/>
      <c r="E128" s="172"/>
      <c r="F128" s="173"/>
      <c r="G128" s="173"/>
      <c r="H128" s="173"/>
      <c r="I128" s="173"/>
      <c r="J128" s="173"/>
      <c r="K128" s="173"/>
      <c r="L128" s="173"/>
      <c r="M128" s="173"/>
      <c r="N128" s="173"/>
      <c r="O128" s="173"/>
      <c r="P128" s="173"/>
      <c r="Q128" s="174"/>
      <c r="R128" s="174"/>
    </row>
    <row r="129" spans="1:19">
      <c r="A129" s="1203">
        <v>1</v>
      </c>
      <c r="B129" s="205" t="s">
        <v>1010</v>
      </c>
      <c r="C129" s="175"/>
      <c r="D129" s="175"/>
      <c r="E129" s="175">
        <v>10</v>
      </c>
      <c r="F129" s="175"/>
      <c r="G129" s="698">
        <f>+'F2.1'!$Q$99</f>
        <v>74.45999999999998</v>
      </c>
      <c r="H129" s="4"/>
      <c r="I129" s="1097">
        <f>+'F2.1'!$Q$94</f>
        <v>3.9200000000000054E-2</v>
      </c>
      <c r="J129" s="698">
        <f>+G129*(1-I129)</f>
        <v>71.541167999999985</v>
      </c>
      <c r="K129" s="4"/>
      <c r="L129" s="4"/>
      <c r="M129" s="698">
        <f>+'F2.1'!D99</f>
        <v>3.9272803791570006</v>
      </c>
      <c r="N129" s="4"/>
      <c r="O129" s="4"/>
      <c r="P129" s="4"/>
      <c r="Q129" s="698">
        <f>+G129*M129/10</f>
        <v>29.242529703203019</v>
      </c>
      <c r="R129" s="698">
        <f>+Q129/G129*10</f>
        <v>3.9272803791570006</v>
      </c>
      <c r="S129" s="544"/>
    </row>
    <row r="130" spans="1:19">
      <c r="A130" s="1203">
        <f>+A129+1</f>
        <v>2</v>
      </c>
      <c r="B130" s="206" t="s">
        <v>813</v>
      </c>
      <c r="C130" s="175"/>
      <c r="D130" s="175"/>
      <c r="E130" s="175">
        <v>10</v>
      </c>
      <c r="F130" s="175"/>
      <c r="G130" s="698">
        <f>+'F2.1'!$Q$100</f>
        <v>34.297500000000007</v>
      </c>
      <c r="H130" s="4"/>
      <c r="I130" s="1097">
        <f>+I129</f>
        <v>3.9200000000000054E-2</v>
      </c>
      <c r="J130" s="698">
        <f t="shared" ref="J130:J133" si="14">+G130*(1-I130)</f>
        <v>32.953038000000006</v>
      </c>
      <c r="K130" s="4"/>
      <c r="L130" s="4"/>
      <c r="M130" s="698">
        <f>+'F2.1'!D100</f>
        <v>4.0852909537600004</v>
      </c>
      <c r="N130" s="4"/>
      <c r="O130" s="4"/>
      <c r="P130" s="4"/>
      <c r="Q130" s="698">
        <f>+G130*M130/10</f>
        <v>14.011526648658364</v>
      </c>
      <c r="R130" s="698">
        <f t="shared" ref="R130:R133" si="15">+Q130/G130*10</f>
        <v>4.0852909537600004</v>
      </c>
      <c r="S130" s="544"/>
    </row>
    <row r="131" spans="1:19">
      <c r="A131" s="176"/>
      <c r="B131" s="206"/>
      <c r="C131" s="175"/>
      <c r="D131" s="175"/>
      <c r="E131" s="175"/>
      <c r="F131" s="175"/>
      <c r="G131" s="698"/>
      <c r="H131" s="4"/>
      <c r="I131" s="4"/>
      <c r="J131" s="698"/>
      <c r="K131" s="4"/>
      <c r="L131" s="4"/>
      <c r="M131" s="4"/>
      <c r="N131" s="4"/>
      <c r="O131" s="4"/>
      <c r="P131" s="4"/>
      <c r="Q131" s="698">
        <f t="shared" ref="Q131" si="16">+J131*M131/10</f>
        <v>0</v>
      </c>
      <c r="R131" s="698"/>
      <c r="S131" s="544"/>
    </row>
    <row r="132" spans="1:19">
      <c r="A132" s="1203">
        <v>3</v>
      </c>
      <c r="B132" s="205" t="s">
        <v>812</v>
      </c>
      <c r="C132" s="175"/>
      <c r="D132" s="175"/>
      <c r="E132" s="175"/>
      <c r="F132" s="175"/>
      <c r="G132" s="698">
        <f>+'F2.1'!$Q$102</f>
        <v>0</v>
      </c>
      <c r="H132" s="4"/>
      <c r="I132" s="1097">
        <f>+I129</f>
        <v>3.9200000000000054E-2</v>
      </c>
      <c r="J132" s="698">
        <f t="shared" si="14"/>
        <v>0</v>
      </c>
      <c r="K132" s="4"/>
      <c r="L132" s="4"/>
      <c r="M132" s="4"/>
      <c r="N132" s="4"/>
      <c r="O132" s="4"/>
      <c r="P132" s="4"/>
      <c r="Q132" s="698">
        <f>+J132*M132/10</f>
        <v>0</v>
      </c>
      <c r="R132" s="698"/>
      <c r="S132" s="544"/>
    </row>
    <row r="133" spans="1:19">
      <c r="A133" s="1203">
        <f>+A132+1</f>
        <v>4</v>
      </c>
      <c r="B133" s="206" t="s">
        <v>820</v>
      </c>
      <c r="C133" s="175"/>
      <c r="D133" s="175"/>
      <c r="E133" s="175"/>
      <c r="F133" s="175"/>
      <c r="G133" s="698">
        <f>+'F2.1'!$Q$101</f>
        <v>-11.240477611401342</v>
      </c>
      <c r="H133" s="4"/>
      <c r="I133" s="1097">
        <f>+I132</f>
        <v>3.9200000000000054E-2</v>
      </c>
      <c r="J133" s="698">
        <f t="shared" si="14"/>
        <v>-10.79985088903441</v>
      </c>
      <c r="K133" s="4"/>
      <c r="L133" s="4"/>
      <c r="M133" s="1156">
        <f>+SUMPRODUCT(Q129:Q130,R129:R130)/SUM(Q129:Q130)*3/4</f>
        <v>2.9838492164740766</v>
      </c>
      <c r="N133" s="4"/>
      <c r="O133" s="4"/>
      <c r="P133" s="4"/>
      <c r="Q133" s="698">
        <f>+G133*M133/10</f>
        <v>-3.3539890313574299</v>
      </c>
      <c r="R133" s="698">
        <f t="shared" si="15"/>
        <v>2.9838492164740771</v>
      </c>
      <c r="S133" s="544"/>
    </row>
    <row r="134" spans="1:19">
      <c r="A134" s="1203">
        <f t="shared" ref="A134:A137" si="17">+A133+1</f>
        <v>5</v>
      </c>
      <c r="B134" s="206" t="s">
        <v>866</v>
      </c>
      <c r="C134" s="174"/>
      <c r="D134" s="174"/>
      <c r="E134" s="174"/>
      <c r="F134" s="174"/>
      <c r="G134" s="698"/>
      <c r="H134" s="1157"/>
      <c r="I134" s="1157"/>
      <c r="J134" s="1158"/>
      <c r="K134" s="1157"/>
      <c r="L134" s="1157"/>
      <c r="M134" s="1157"/>
      <c r="N134" s="1157"/>
      <c r="O134" s="1157"/>
      <c r="P134" s="1157"/>
      <c r="Q134" s="698">
        <f>+J134*M134/10</f>
        <v>0</v>
      </c>
      <c r="R134" s="698"/>
      <c r="S134" s="544"/>
    </row>
    <row r="135" spans="1:19">
      <c r="A135" s="1203">
        <f t="shared" si="17"/>
        <v>6</v>
      </c>
      <c r="B135" s="206" t="s">
        <v>873</v>
      </c>
      <c r="C135" s="174"/>
      <c r="D135" s="174"/>
      <c r="E135" s="174"/>
      <c r="F135" s="174"/>
      <c r="G135" s="698"/>
      <c r="H135" s="1157"/>
      <c r="I135" s="1157"/>
      <c r="J135" s="1158"/>
      <c r="K135" s="1157"/>
      <c r="L135" s="1157"/>
      <c r="M135" s="1157"/>
      <c r="N135" s="1157"/>
      <c r="O135" s="1157"/>
      <c r="P135" s="1157"/>
      <c r="Q135" s="698">
        <f>+Backup!F131</f>
        <v>1.0727</v>
      </c>
      <c r="R135" s="698"/>
      <c r="S135" s="544"/>
    </row>
    <row r="136" spans="1:19">
      <c r="A136" s="1203">
        <f t="shared" si="17"/>
        <v>7</v>
      </c>
      <c r="B136" s="175" t="s">
        <v>872</v>
      </c>
      <c r="C136" s="174"/>
      <c r="D136" s="174"/>
      <c r="E136" s="174"/>
      <c r="F136" s="174"/>
      <c r="G136" s="698"/>
      <c r="H136" s="1157"/>
      <c r="I136" s="1157"/>
      <c r="J136" s="1158"/>
      <c r="K136" s="1157"/>
      <c r="L136" s="1157"/>
      <c r="M136" s="1157"/>
      <c r="N136" s="1157"/>
      <c r="O136" s="1157"/>
      <c r="P136" s="1157"/>
      <c r="Q136" s="698">
        <f>+Backup!F126</f>
        <v>0.26819999999999999</v>
      </c>
      <c r="R136" s="698"/>
      <c r="S136" s="544"/>
    </row>
    <row r="137" spans="1:19" ht="17.25">
      <c r="A137" s="1266">
        <f t="shared" si="17"/>
        <v>8</v>
      </c>
      <c r="B137" s="198" t="s">
        <v>115</v>
      </c>
      <c r="C137" s="198"/>
      <c r="D137" s="198"/>
      <c r="E137" s="198"/>
      <c r="F137" s="198"/>
      <c r="G137" s="831">
        <f>+SUM(G128:G136)</f>
        <v>97.517022388598647</v>
      </c>
      <c r="H137" s="1159"/>
      <c r="I137" s="1159"/>
      <c r="J137" s="831">
        <f>+SUM(J128:J136)</f>
        <v>93.694355110965574</v>
      </c>
      <c r="K137" s="1159"/>
      <c r="L137" s="1159"/>
      <c r="M137" s="1159"/>
      <c r="N137" s="1159"/>
      <c r="O137" s="1159"/>
      <c r="P137" s="1159"/>
      <c r="Q137" s="1094">
        <f>+SUM(Q128:Q136)</f>
        <v>41.240967320503948</v>
      </c>
      <c r="R137" s="831">
        <f>+Q137/G137*10</f>
        <v>4.2291044486737421</v>
      </c>
      <c r="S137" s="544"/>
    </row>
    <row r="138" spans="1:19" ht="18">
      <c r="A138" s="65"/>
      <c r="B138" s="207"/>
      <c r="C138" s="207"/>
      <c r="D138" s="207"/>
      <c r="E138" s="207"/>
      <c r="F138" s="207"/>
      <c r="G138" s="208"/>
      <c r="H138" s="208"/>
      <c r="I138" s="208"/>
      <c r="J138" s="208"/>
      <c r="K138" s="208"/>
      <c r="L138" s="208"/>
      <c r="M138" s="208"/>
      <c r="N138" s="208"/>
      <c r="O138" s="208"/>
      <c r="P138" s="208"/>
      <c r="Q138" s="208"/>
      <c r="R138" s="65"/>
      <c r="S138" s="544"/>
    </row>
    <row r="139" spans="1:19">
      <c r="B139" s="374" t="s">
        <v>727</v>
      </c>
      <c r="C139" s="374"/>
    </row>
    <row r="141" spans="1:19" s="200" customFormat="1" ht="85.5">
      <c r="A141" s="201" t="s">
        <v>157</v>
      </c>
      <c r="B141" s="201" t="s">
        <v>235</v>
      </c>
      <c r="C141" s="201" t="s">
        <v>286</v>
      </c>
      <c r="D141" s="201" t="s">
        <v>236</v>
      </c>
      <c r="E141" s="201" t="s">
        <v>237</v>
      </c>
      <c r="F141" s="202" t="s">
        <v>238</v>
      </c>
      <c r="G141" s="202" t="s">
        <v>239</v>
      </c>
      <c r="H141" s="202" t="s">
        <v>287</v>
      </c>
      <c r="I141" s="202" t="s">
        <v>853</v>
      </c>
      <c r="J141" s="202" t="s">
        <v>288</v>
      </c>
      <c r="K141" s="202" t="s">
        <v>240</v>
      </c>
      <c r="L141" s="202" t="s">
        <v>241</v>
      </c>
      <c r="M141" s="202" t="s">
        <v>289</v>
      </c>
      <c r="N141" s="202" t="s">
        <v>242</v>
      </c>
      <c r="O141" s="202" t="s">
        <v>243</v>
      </c>
      <c r="P141" s="202" t="s">
        <v>244</v>
      </c>
      <c r="Q141" s="202" t="s">
        <v>442</v>
      </c>
      <c r="R141" s="202" t="s">
        <v>443</v>
      </c>
    </row>
    <row r="142" spans="1:19">
      <c r="A142" s="203">
        <v>1</v>
      </c>
      <c r="B142" s="203">
        <v>2</v>
      </c>
      <c r="C142" s="203">
        <v>3</v>
      </c>
      <c r="D142" s="203">
        <v>4</v>
      </c>
      <c r="E142" s="203">
        <v>5</v>
      </c>
      <c r="F142" s="203">
        <v>6</v>
      </c>
      <c r="G142" s="203">
        <v>7</v>
      </c>
      <c r="H142" s="203">
        <v>8</v>
      </c>
      <c r="I142" s="203">
        <v>9</v>
      </c>
      <c r="J142" s="203">
        <v>10</v>
      </c>
      <c r="K142" s="203">
        <v>11</v>
      </c>
      <c r="L142" s="203">
        <v>12</v>
      </c>
      <c r="M142" s="203">
        <v>13</v>
      </c>
      <c r="N142" s="203">
        <v>14</v>
      </c>
      <c r="O142" s="203">
        <v>15</v>
      </c>
      <c r="P142" s="203">
        <v>16</v>
      </c>
      <c r="Q142" s="203">
        <v>17</v>
      </c>
      <c r="R142" s="203">
        <v>18</v>
      </c>
    </row>
    <row r="143" spans="1:19" ht="28.5">
      <c r="A143" s="174"/>
      <c r="B143" s="204" t="s">
        <v>290</v>
      </c>
      <c r="C143" s="172"/>
      <c r="D143" s="172"/>
      <c r="E143" s="172"/>
      <c r="F143" s="173"/>
      <c r="G143" s="173"/>
      <c r="H143" s="173"/>
      <c r="I143" s="173"/>
      <c r="J143" s="173"/>
      <c r="K143" s="173"/>
      <c r="L143" s="173"/>
      <c r="M143" s="173"/>
      <c r="N143" s="173"/>
      <c r="O143" s="173"/>
      <c r="P143" s="173"/>
      <c r="Q143" s="174"/>
      <c r="R143" s="174"/>
    </row>
    <row r="144" spans="1:19">
      <c r="A144" s="1203">
        <v>1</v>
      </c>
      <c r="B144" s="206" t="s">
        <v>971</v>
      </c>
      <c r="C144" s="1256"/>
      <c r="D144" s="1256"/>
      <c r="E144" s="1256">
        <v>10</v>
      </c>
      <c r="F144" s="1256"/>
      <c r="G144" s="1256">
        <f>(E144*85%*1000*24*365)/10^6</f>
        <v>74.459999999999994</v>
      </c>
      <c r="H144" s="1256"/>
      <c r="I144" s="1258">
        <f>'F2.1'!K$74</f>
        <v>3.5346652827791487E-2</v>
      </c>
      <c r="J144" s="1259">
        <f>G144*(1-I144)</f>
        <v>71.828088230442646</v>
      </c>
      <c r="K144" s="1256"/>
      <c r="L144" s="1260"/>
      <c r="M144" s="1256">
        <v>3.72</v>
      </c>
      <c r="N144" s="1259">
        <f>M144*G144/10</f>
        <v>27.699120000000001</v>
      </c>
      <c r="O144" s="1256"/>
      <c r="P144" s="1256"/>
      <c r="Q144" s="1261">
        <f t="shared" ref="Q144:Q145" si="18">K144+L144+N144-O144+P144</f>
        <v>27.699120000000001</v>
      </c>
      <c r="R144" s="1259">
        <f t="shared" ref="R144:R145" si="19">+Q144/G144*10</f>
        <v>3.7200000000000006</v>
      </c>
    </row>
    <row r="145" spans="1:18">
      <c r="A145" s="1203">
        <f>+A144+1</f>
        <v>2</v>
      </c>
      <c r="B145" s="206" t="s">
        <v>972</v>
      </c>
      <c r="C145" s="1256"/>
      <c r="D145" s="1256"/>
      <c r="E145" s="1256">
        <v>10</v>
      </c>
      <c r="F145" s="1256"/>
      <c r="G145" s="1256">
        <f>(E145*85%*1000*15*22*12)/10^6</f>
        <v>33.659999999999997</v>
      </c>
      <c r="H145" s="1256"/>
      <c r="I145" s="1258">
        <f>'F2.1'!K$74</f>
        <v>3.5346652827791487E-2</v>
      </c>
      <c r="J145" s="1259">
        <f>G145*(1-I145)</f>
        <v>32.470231665816534</v>
      </c>
      <c r="K145" s="1256"/>
      <c r="L145" s="1260"/>
      <c r="M145" s="1256">
        <v>3.72</v>
      </c>
      <c r="N145" s="1259">
        <f>M145*G145/10</f>
        <v>12.521519999999999</v>
      </c>
      <c r="O145" s="1256"/>
      <c r="P145" s="1256"/>
      <c r="Q145" s="1261">
        <f t="shared" si="18"/>
        <v>12.521519999999999</v>
      </c>
      <c r="R145" s="1259">
        <f t="shared" si="19"/>
        <v>3.7199999999999998</v>
      </c>
    </row>
    <row r="146" spans="1:18">
      <c r="A146" s="1203">
        <f t="shared" ref="A146:A152" si="20">+A145+1</f>
        <v>3</v>
      </c>
      <c r="B146" s="171" t="s">
        <v>973</v>
      </c>
      <c r="C146" s="1256"/>
      <c r="D146" s="1256"/>
      <c r="E146" s="1256"/>
      <c r="F146" s="1256"/>
      <c r="G146" s="1256"/>
      <c r="H146" s="1256"/>
      <c r="I146" s="1258"/>
      <c r="J146" s="1256"/>
      <c r="K146" s="1256"/>
      <c r="L146" s="1256"/>
      <c r="M146" s="1256"/>
      <c r="N146" s="1256"/>
      <c r="O146" s="1256"/>
      <c r="P146" s="1256"/>
      <c r="Q146" s="1256"/>
      <c r="R146" s="1259"/>
    </row>
    <row r="147" spans="1:18">
      <c r="A147" s="1203">
        <f t="shared" si="20"/>
        <v>4</v>
      </c>
      <c r="B147" s="679" t="s">
        <v>974</v>
      </c>
      <c r="C147" s="1256"/>
      <c r="D147" s="1256"/>
      <c r="E147" s="1256"/>
      <c r="F147" s="1256"/>
      <c r="G147" s="1256"/>
      <c r="H147" s="1256"/>
      <c r="I147" s="1258"/>
      <c r="J147" s="1256"/>
      <c r="K147" s="1256"/>
      <c r="L147" s="1256"/>
      <c r="M147" s="1256"/>
      <c r="N147" s="1256"/>
      <c r="O147" s="1256"/>
      <c r="P147" s="1256"/>
      <c r="Q147" s="1256"/>
      <c r="R147" s="1259"/>
    </row>
    <row r="148" spans="1:18">
      <c r="A148" s="1203">
        <f t="shared" si="20"/>
        <v>5</v>
      </c>
      <c r="B148" s="205" t="s">
        <v>975</v>
      </c>
      <c r="C148" s="1256"/>
      <c r="D148" s="1256"/>
      <c r="E148" s="1256"/>
      <c r="F148" s="1256"/>
      <c r="G148" s="1256"/>
      <c r="H148" s="1256"/>
      <c r="I148" s="1258">
        <f>'F2.1'!K$74</f>
        <v>3.5346652827791487E-2</v>
      </c>
      <c r="J148" s="1256"/>
      <c r="K148" s="1256"/>
      <c r="L148" s="1256"/>
      <c r="M148" s="1256"/>
      <c r="N148" s="1256"/>
      <c r="O148" s="1256"/>
      <c r="P148" s="1256"/>
      <c r="Q148" s="1256"/>
      <c r="R148" s="1259"/>
    </row>
    <row r="149" spans="1:18">
      <c r="A149" s="1203">
        <f t="shared" si="20"/>
        <v>6</v>
      </c>
      <c r="B149" s="206" t="s">
        <v>976</v>
      </c>
      <c r="C149" s="1256"/>
      <c r="D149" s="1256"/>
      <c r="E149" s="1256"/>
      <c r="F149" s="1256"/>
      <c r="G149" s="1256"/>
      <c r="H149" s="1256"/>
      <c r="I149" s="1258">
        <f>'F2.1'!K$74</f>
        <v>3.5346652827791487E-2</v>
      </c>
      <c r="J149" s="1256"/>
      <c r="K149" s="1256"/>
      <c r="L149" s="1256"/>
      <c r="M149" s="1256"/>
      <c r="N149" s="1256"/>
      <c r="O149" s="1256"/>
      <c r="P149" s="1256"/>
      <c r="Q149" s="1261">
        <f>N153</f>
        <v>1.5078897413336891</v>
      </c>
      <c r="R149" s="1259"/>
    </row>
    <row r="150" spans="1:18">
      <c r="A150" s="1203">
        <f t="shared" si="20"/>
        <v>7</v>
      </c>
      <c r="B150" s="206" t="s">
        <v>820</v>
      </c>
      <c r="C150" s="1256"/>
      <c r="D150" s="1256"/>
      <c r="E150" s="1256"/>
      <c r="F150" s="1256"/>
      <c r="G150" s="1256"/>
      <c r="H150" s="1262"/>
      <c r="I150" s="1258">
        <f>'F2.1'!K$74</f>
        <v>3.5346652827791487E-2</v>
      </c>
      <c r="J150" s="1262"/>
      <c r="K150" s="1262"/>
      <c r="L150" s="1262"/>
      <c r="M150" s="1262"/>
      <c r="N150" s="1262"/>
      <c r="O150" s="1262"/>
      <c r="P150" s="1262"/>
      <c r="Q150" s="1261">
        <f>N154</f>
        <v>2.123354941878052</v>
      </c>
      <c r="R150" s="1259"/>
    </row>
    <row r="151" spans="1:18">
      <c r="A151" s="1203">
        <f t="shared" si="20"/>
        <v>8</v>
      </c>
      <c r="B151" s="206" t="s">
        <v>977</v>
      </c>
      <c r="C151" s="1256"/>
      <c r="D151" s="1256"/>
      <c r="E151" s="1256"/>
      <c r="F151" s="1256"/>
      <c r="G151" s="1259">
        <v>14.97</v>
      </c>
      <c r="H151" s="1262"/>
      <c r="I151" s="1258">
        <f>'F2.1'!K$74</f>
        <v>3.5346652827791487E-2</v>
      </c>
      <c r="J151" s="1259">
        <f>G151*(1-I151)</f>
        <v>14.440860607167963</v>
      </c>
      <c r="K151" s="1262"/>
      <c r="L151" s="1262"/>
      <c r="M151" s="1262">
        <v>3.72</v>
      </c>
      <c r="N151" s="1259">
        <f>M151*G151/10</f>
        <v>5.5688400000000007</v>
      </c>
      <c r="O151" s="1262"/>
      <c r="P151" s="1262"/>
      <c r="Q151" s="1261">
        <f t="shared" ref="Q151" si="21">K151+L151+N151-O151+P151</f>
        <v>5.5688400000000007</v>
      </c>
      <c r="R151" s="1259">
        <f t="shared" ref="R151:R152" si="22">+Q151/G151*10</f>
        <v>3.7200000000000006</v>
      </c>
    </row>
    <row r="152" spans="1:18">
      <c r="A152" s="1266">
        <f t="shared" si="20"/>
        <v>9</v>
      </c>
      <c r="B152" s="198" t="s">
        <v>115</v>
      </c>
      <c r="C152" s="1256"/>
      <c r="D152" s="1256"/>
      <c r="E152" s="1256"/>
      <c r="F152" s="1256"/>
      <c r="G152" s="1263">
        <f>SUM(G144:G151)</f>
        <v>123.08999999999999</v>
      </c>
      <c r="H152" s="1262"/>
      <c r="I152" s="1262"/>
      <c r="J152" s="1264">
        <f>SUM(J144:J151)</f>
        <v>118.73918050342715</v>
      </c>
      <c r="K152" s="1262"/>
      <c r="L152" s="1262"/>
      <c r="M152" s="1262"/>
      <c r="N152" s="1264">
        <f>SUM(N144:N151)</f>
        <v>45.789480000000005</v>
      </c>
      <c r="O152" s="1262"/>
      <c r="P152" s="1262"/>
      <c r="Q152" s="1265">
        <f>SUM(Q144:Q151)</f>
        <v>49.420724683211752</v>
      </c>
      <c r="R152" s="1263">
        <f t="shared" si="22"/>
        <v>4.0150072859868189</v>
      </c>
    </row>
    <row r="153" spans="1:18" ht="18">
      <c r="A153" s="65"/>
      <c r="B153" s="207"/>
      <c r="C153" s="207"/>
      <c r="D153" s="207"/>
      <c r="E153" s="175" t="s">
        <v>934</v>
      </c>
      <c r="F153" s="198"/>
      <c r="G153" s="1259">
        <f>'F1.4'!L26*ASSUM!L61</f>
        <v>4.3082564038105406</v>
      </c>
      <c r="H153" s="1259"/>
      <c r="I153" s="1259"/>
      <c r="J153" s="1259"/>
      <c r="K153" s="1259"/>
      <c r="L153" s="1259"/>
      <c r="M153" s="1259">
        <v>3500</v>
      </c>
      <c r="N153" s="1259">
        <f>M153*G153*1000/10^7</f>
        <v>1.5078897413336891</v>
      </c>
      <c r="O153" s="208"/>
      <c r="P153" s="208"/>
      <c r="Q153" s="208"/>
      <c r="R153" s="65"/>
    </row>
    <row r="154" spans="1:18">
      <c r="C154" s="180"/>
      <c r="E154" s="753" t="s">
        <v>1004</v>
      </c>
      <c r="F154" s="753"/>
      <c r="G154" s="1259">
        <f>'F1.4'!L26*ASSUM!L62</f>
        <v>14.155699612520346</v>
      </c>
      <c r="H154" s="1259"/>
      <c r="I154" s="1259"/>
      <c r="J154" s="1259"/>
      <c r="K154" s="1259"/>
      <c r="L154" s="1259"/>
      <c r="M154" s="1259">
        <v>1500</v>
      </c>
      <c r="N154" s="1259">
        <f>M154*G154*1000/10^7</f>
        <v>2.123354941878052</v>
      </c>
    </row>
    <row r="155" spans="1:18" ht="18">
      <c r="B155" s="791"/>
      <c r="C155" s="791"/>
      <c r="E155" s="378"/>
      <c r="F155" s="378"/>
      <c r="G155" s="827"/>
      <c r="H155" s="378"/>
      <c r="I155" s="378"/>
      <c r="J155" s="378"/>
      <c r="K155" s="378"/>
      <c r="L155" s="378"/>
      <c r="M155" s="378"/>
      <c r="N155" s="826"/>
    </row>
    <row r="156" spans="1:18" ht="18">
      <c r="B156" s="180" t="s">
        <v>685</v>
      </c>
      <c r="C156" s="791"/>
      <c r="E156" s="378"/>
      <c r="F156" s="378"/>
      <c r="G156" s="827"/>
      <c r="H156" s="378"/>
      <c r="I156" s="378"/>
      <c r="J156" s="378"/>
      <c r="K156" s="378"/>
      <c r="L156" s="378"/>
      <c r="M156" s="378"/>
      <c r="N156" s="826"/>
    </row>
    <row r="158" spans="1:18" s="200" customFormat="1" ht="85.5">
      <c r="A158" s="201" t="s">
        <v>157</v>
      </c>
      <c r="B158" s="201" t="s">
        <v>235</v>
      </c>
      <c r="C158" s="201" t="s">
        <v>286</v>
      </c>
      <c r="D158" s="201" t="s">
        <v>236</v>
      </c>
      <c r="E158" s="201" t="s">
        <v>237</v>
      </c>
      <c r="F158" s="202" t="s">
        <v>238</v>
      </c>
      <c r="G158" s="202" t="s">
        <v>239</v>
      </c>
      <c r="H158" s="202" t="s">
        <v>287</v>
      </c>
      <c r="I158" s="202" t="s">
        <v>853</v>
      </c>
      <c r="J158" s="202" t="s">
        <v>288</v>
      </c>
      <c r="K158" s="202" t="s">
        <v>240</v>
      </c>
      <c r="L158" s="202" t="s">
        <v>241</v>
      </c>
      <c r="M158" s="202" t="s">
        <v>289</v>
      </c>
      <c r="N158" s="202" t="s">
        <v>242</v>
      </c>
      <c r="O158" s="202" t="s">
        <v>243</v>
      </c>
      <c r="P158" s="202" t="s">
        <v>244</v>
      </c>
      <c r="Q158" s="202" t="s">
        <v>442</v>
      </c>
      <c r="R158" s="202" t="s">
        <v>443</v>
      </c>
    </row>
    <row r="159" spans="1:18">
      <c r="A159" s="203">
        <v>1</v>
      </c>
      <c r="B159" s="203">
        <v>2</v>
      </c>
      <c r="C159" s="203">
        <v>3</v>
      </c>
      <c r="D159" s="203">
        <v>4</v>
      </c>
      <c r="E159" s="203">
        <v>5</v>
      </c>
      <c r="F159" s="203">
        <v>6</v>
      </c>
      <c r="G159" s="203">
        <v>7</v>
      </c>
      <c r="H159" s="203">
        <v>8</v>
      </c>
      <c r="I159" s="203">
        <v>9</v>
      </c>
      <c r="J159" s="203">
        <v>10</v>
      </c>
      <c r="K159" s="203">
        <v>11</v>
      </c>
      <c r="L159" s="203">
        <v>12</v>
      </c>
      <c r="M159" s="203">
        <v>13</v>
      </c>
      <c r="N159" s="203">
        <v>14</v>
      </c>
      <c r="O159" s="203">
        <v>15</v>
      </c>
      <c r="P159" s="203">
        <v>16</v>
      </c>
      <c r="Q159" s="203">
        <v>17</v>
      </c>
      <c r="R159" s="203">
        <v>18</v>
      </c>
    </row>
    <row r="160" spans="1:18">
      <c r="A160" s="174"/>
      <c r="B160" s="204" t="s">
        <v>867</v>
      </c>
      <c r="C160" s="172"/>
      <c r="D160" s="172"/>
      <c r="E160" s="172"/>
      <c r="F160" s="173"/>
      <c r="G160" s="173"/>
      <c r="H160" s="173"/>
      <c r="I160" s="173"/>
      <c r="J160" s="173"/>
      <c r="K160" s="173"/>
      <c r="L160" s="173"/>
      <c r="M160" s="173"/>
      <c r="N160" s="173"/>
      <c r="O160" s="173"/>
      <c r="P160" s="173"/>
      <c r="Q160" s="174"/>
      <c r="R160" s="174"/>
    </row>
    <row r="161" spans="1:19">
      <c r="A161" s="1203">
        <v>1</v>
      </c>
      <c r="B161" s="205" t="s">
        <v>1010</v>
      </c>
      <c r="C161" s="175"/>
      <c r="D161" s="175"/>
      <c r="E161" s="175">
        <v>10</v>
      </c>
      <c r="F161" s="175"/>
      <c r="G161" s="1155">
        <f>'F2.1'!Q119</f>
        <v>74.663999999999987</v>
      </c>
      <c r="H161" s="4"/>
      <c r="I161" s="1097">
        <f>+'F2.1'!$Q$114</f>
        <v>3.9200000000000131E-2</v>
      </c>
      <c r="J161" s="698">
        <f>+G161*(1-I161)</f>
        <v>71.737171199999977</v>
      </c>
      <c r="K161" s="4"/>
      <c r="L161" s="4"/>
      <c r="M161" s="698">
        <f>+'F2.1'!D119</f>
        <v>3.9827738514372135</v>
      </c>
      <c r="N161" s="4"/>
      <c r="O161" s="4"/>
      <c r="P161" s="4"/>
      <c r="Q161" s="698">
        <f>+G161*M161/10</f>
        <v>29.736982684370805</v>
      </c>
      <c r="R161" s="698">
        <f>+Q161/G161*10</f>
        <v>3.9827738514372135</v>
      </c>
      <c r="S161" s="544"/>
    </row>
    <row r="162" spans="1:19">
      <c r="A162" s="1203">
        <v>2</v>
      </c>
      <c r="B162" s="206" t="s">
        <v>813</v>
      </c>
      <c r="C162" s="175"/>
      <c r="D162" s="175"/>
      <c r="E162" s="175">
        <v>10</v>
      </c>
      <c r="F162" s="175"/>
      <c r="G162" s="698">
        <f>+'F2.1'!$Q$120</f>
        <v>34.425000000000004</v>
      </c>
      <c r="H162" s="4"/>
      <c r="I162" s="1097">
        <f>+I161</f>
        <v>3.9200000000000131E-2</v>
      </c>
      <c r="J162" s="698">
        <f t="shared" ref="J162" si="23">+G162*(1-I162)</f>
        <v>33.075539999999997</v>
      </c>
      <c r="K162" s="4"/>
      <c r="L162" s="4"/>
      <c r="M162" s="698">
        <f>+'F2.1'!D120</f>
        <v>4.1501008483938255</v>
      </c>
      <c r="N162" s="4"/>
      <c r="O162" s="4"/>
      <c r="P162" s="4"/>
      <c r="Q162" s="698">
        <f>+G162*M162/10</f>
        <v>14.286722170595747</v>
      </c>
      <c r="R162" s="698">
        <f t="shared" ref="R162" si="24">+Q162/G162*10</f>
        <v>4.1501008483938255</v>
      </c>
      <c r="S162" s="544"/>
    </row>
    <row r="163" spans="1:19">
      <c r="A163" s="176"/>
      <c r="B163" s="206"/>
      <c r="C163" s="175"/>
      <c r="D163" s="175"/>
      <c r="E163" s="175"/>
      <c r="F163" s="175"/>
      <c r="G163" s="698"/>
      <c r="H163" s="4"/>
      <c r="I163" s="4"/>
      <c r="J163" s="698"/>
      <c r="K163" s="4"/>
      <c r="L163" s="4"/>
      <c r="M163" s="4"/>
      <c r="N163" s="4"/>
      <c r="O163" s="4"/>
      <c r="P163" s="4"/>
      <c r="Q163" s="698"/>
      <c r="R163" s="698"/>
      <c r="S163" s="544"/>
    </row>
    <row r="164" spans="1:19">
      <c r="A164" s="1203">
        <v>3</v>
      </c>
      <c r="B164" s="205" t="s">
        <v>812</v>
      </c>
      <c r="C164" s="175"/>
      <c r="D164" s="175"/>
      <c r="E164" s="175"/>
      <c r="F164" s="175"/>
      <c r="G164" s="698">
        <f>+'F2.1'!$Q$122</f>
        <v>0</v>
      </c>
      <c r="H164" s="4"/>
      <c r="I164" s="1097">
        <f>+I161</f>
        <v>3.9200000000000131E-2</v>
      </c>
      <c r="J164" s="698">
        <f t="shared" ref="J164:J165" si="25">+G164*(1-I164)</f>
        <v>0</v>
      </c>
      <c r="K164" s="4"/>
      <c r="L164" s="4"/>
      <c r="M164" s="698">
        <v>0</v>
      </c>
      <c r="N164" s="4"/>
      <c r="O164" s="4"/>
      <c r="P164" s="4"/>
      <c r="Q164" s="698">
        <f>+J164*M164/10</f>
        <v>0</v>
      </c>
      <c r="R164" s="698"/>
      <c r="S164" s="544"/>
    </row>
    <row r="165" spans="1:19">
      <c r="A165" s="1203">
        <f>+A164+1</f>
        <v>4</v>
      </c>
      <c r="B165" s="206" t="s">
        <v>820</v>
      </c>
      <c r="C165" s="175"/>
      <c r="D165" s="175"/>
      <c r="E165" s="175"/>
      <c r="F165" s="175"/>
      <c r="G165" s="698">
        <f>+'F2.1'!$Q$121</f>
        <v>-9.598963033559194</v>
      </c>
      <c r="H165" s="4"/>
      <c r="I165" s="1097">
        <f>+I164</f>
        <v>3.9200000000000131E-2</v>
      </c>
      <c r="J165" s="698">
        <f t="shared" si="25"/>
        <v>-9.2226836826436731</v>
      </c>
      <c r="K165" s="4"/>
      <c r="L165" s="4"/>
      <c r="M165" s="1158">
        <f>+SUMPRODUCT(Q161:Q162,R161:R162)/SUM(Q161:Q162)*3/4</f>
        <v>3.0278065324537167</v>
      </c>
      <c r="N165" s="4"/>
      <c r="O165" s="4"/>
      <c r="P165" s="4"/>
      <c r="Q165" s="698">
        <f>+G165*M165/10</f>
        <v>-2.906380297779227</v>
      </c>
      <c r="R165" s="698">
        <f>+Q165/G165*10</f>
        <v>3.0278065324537162</v>
      </c>
      <c r="S165" s="544"/>
    </row>
    <row r="166" spans="1:19">
      <c r="A166" s="1203">
        <f t="shared" ref="A166:A169" si="26">+A165+1</f>
        <v>5</v>
      </c>
      <c r="B166" s="206" t="s">
        <v>866</v>
      </c>
      <c r="C166" s="174"/>
      <c r="D166" s="174"/>
      <c r="E166" s="174"/>
      <c r="F166" s="174"/>
      <c r="G166" s="1158">
        <v>0</v>
      </c>
      <c r="H166" s="1157"/>
      <c r="I166" s="1157"/>
      <c r="J166" s="1158">
        <v>0</v>
      </c>
      <c r="K166" s="1157"/>
      <c r="L166" s="1157"/>
      <c r="M166" s="1158">
        <v>0</v>
      </c>
      <c r="N166" s="1157"/>
      <c r="O166" s="1157"/>
      <c r="P166" s="1157"/>
      <c r="Q166" s="698">
        <f>+J166*M166/10</f>
        <v>0</v>
      </c>
      <c r="R166" s="698"/>
      <c r="S166" s="544"/>
    </row>
    <row r="167" spans="1:19">
      <c r="A167" s="1203">
        <f t="shared" si="26"/>
        <v>6</v>
      </c>
      <c r="B167" s="206" t="s">
        <v>873</v>
      </c>
      <c r="C167" s="174"/>
      <c r="D167" s="174"/>
      <c r="E167" s="174"/>
      <c r="F167" s="174"/>
      <c r="G167" s="1158">
        <v>0</v>
      </c>
      <c r="H167" s="1157"/>
      <c r="I167" s="1157"/>
      <c r="J167" s="1158">
        <v>0</v>
      </c>
      <c r="K167" s="1157"/>
      <c r="L167" s="1157"/>
      <c r="M167" s="1158">
        <v>0</v>
      </c>
      <c r="N167" s="1157"/>
      <c r="O167" s="1157"/>
      <c r="P167" s="1157"/>
      <c r="Q167" s="698">
        <f>+Backup!G131</f>
        <v>1.1442000000000001</v>
      </c>
      <c r="R167" s="698"/>
      <c r="S167" s="544"/>
    </row>
    <row r="168" spans="1:19">
      <c r="A168" s="1203">
        <f t="shared" si="26"/>
        <v>7</v>
      </c>
      <c r="B168" s="175" t="s">
        <v>872</v>
      </c>
      <c r="C168" s="174"/>
      <c r="D168" s="174"/>
      <c r="E168" s="174"/>
      <c r="F168" s="174"/>
      <c r="G168" s="1158">
        <v>0</v>
      </c>
      <c r="H168" s="1157"/>
      <c r="I168" s="1157"/>
      <c r="J168" s="1158">
        <v>0</v>
      </c>
      <c r="K168" s="1157"/>
      <c r="L168" s="1157"/>
      <c r="M168" s="1158">
        <v>0</v>
      </c>
      <c r="N168" s="1157"/>
      <c r="O168" s="1157"/>
      <c r="P168" s="1157"/>
      <c r="Q168" s="698">
        <f>+Backup!G126</f>
        <v>0.3483</v>
      </c>
      <c r="R168" s="698"/>
      <c r="S168" s="544"/>
    </row>
    <row r="169" spans="1:19" ht="17.25">
      <c r="A169" s="1266">
        <f t="shared" si="26"/>
        <v>8</v>
      </c>
      <c r="B169" s="198" t="s">
        <v>115</v>
      </c>
      <c r="C169" s="198"/>
      <c r="D169" s="198"/>
      <c r="E169" s="198"/>
      <c r="F169" s="198"/>
      <c r="G169" s="831">
        <f>+SUM(G160:G168)</f>
        <v>99.490036966440812</v>
      </c>
      <c r="H169" s="1159"/>
      <c r="I169" s="1159"/>
      <c r="J169" s="831">
        <f>+SUM(J160:J168)</f>
        <v>95.59002751735629</v>
      </c>
      <c r="K169" s="1159"/>
      <c r="L169" s="1159"/>
      <c r="M169" s="1159"/>
      <c r="N169" s="1159"/>
      <c r="O169" s="1159"/>
      <c r="P169" s="1159"/>
      <c r="Q169" s="1094">
        <f>+SUM(Q160:Q168)</f>
        <v>42.609824557187324</v>
      </c>
      <c r="R169" s="831">
        <f t="shared" ref="R169" si="27">+Q169/G169*10</f>
        <v>4.2828232711944949</v>
      </c>
      <c r="S169" s="544"/>
    </row>
  </sheetData>
  <mergeCells count="3">
    <mergeCell ref="B5:C5"/>
    <mergeCell ref="E29:E32"/>
    <mergeCell ref="E13:E16"/>
  </mergeCells>
  <pageMargins left="0.43307086614173229" right="0.31496062992125984" top="0.39370078740157483" bottom="0.27559055118110237" header="0.31496062992125984" footer="0.31496062992125984"/>
  <pageSetup paperSize="9" scale="49" fitToHeight="0" orientation="landscape" r:id="rId1"/>
  <rowBreaks count="3" manualBreakCount="3">
    <brk id="38" max="18" man="1"/>
    <brk id="88" max="16383" man="1"/>
    <brk id="138" max="1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B3:U196"/>
  <sheetViews>
    <sheetView showGridLines="0" view="pageBreakPreview" topLeftCell="A106" zoomScale="60" zoomScaleNormal="70" zoomScalePageLayoutView="80" workbookViewId="0">
      <selection activeCell="C11" sqref="C11:C12"/>
    </sheetView>
  </sheetViews>
  <sheetFormatPr defaultColWidth="9.140625" defaultRowHeight="15"/>
  <cols>
    <col min="1" max="1" width="6.85546875" style="18" customWidth="1"/>
    <col min="2" max="2" width="11.28515625" style="18" customWidth="1"/>
    <col min="3" max="3" width="69.140625" style="18" customWidth="1"/>
    <col min="4" max="4" width="19.5703125" style="18" customWidth="1"/>
    <col min="5" max="16" width="10" style="18" customWidth="1"/>
    <col min="17" max="17" width="11.85546875" style="18" customWidth="1"/>
    <col min="18" max="255" width="9.140625" style="18"/>
    <col min="256" max="256" width="6.85546875" style="18" customWidth="1"/>
    <col min="257" max="257" width="7" style="18" customWidth="1"/>
    <col min="258" max="258" width="17.85546875" style="18" bestFit="1" customWidth="1"/>
    <col min="259" max="259" width="12.85546875" style="18" customWidth="1"/>
    <col min="260" max="260" width="24" style="18" customWidth="1"/>
    <col min="261" max="261" width="13.42578125" style="18" bestFit="1" customWidth="1"/>
    <col min="262" max="262" width="13.85546875" style="18" customWidth="1"/>
    <col min="263" max="263" width="13.140625" style="18" customWidth="1"/>
    <col min="264" max="264" width="22.42578125" style="18" customWidth="1"/>
    <col min="265" max="265" width="18.42578125" style="18" customWidth="1"/>
    <col min="266" max="266" width="22" style="18" customWidth="1"/>
    <col min="267" max="267" width="21.28515625" style="18" customWidth="1"/>
    <col min="268" max="268" width="23" style="18" customWidth="1"/>
    <col min="269" max="511" width="9.140625" style="18"/>
    <col min="512" max="512" width="6.85546875" style="18" customWidth="1"/>
    <col min="513" max="513" width="7" style="18" customWidth="1"/>
    <col min="514" max="514" width="17.85546875" style="18" bestFit="1" customWidth="1"/>
    <col min="515" max="515" width="12.85546875" style="18" customWidth="1"/>
    <col min="516" max="516" width="24" style="18" customWidth="1"/>
    <col min="517" max="517" width="13.42578125" style="18" bestFit="1" customWidth="1"/>
    <col min="518" max="518" width="13.85546875" style="18" customWidth="1"/>
    <col min="519" max="519" width="13.140625" style="18" customWidth="1"/>
    <col min="520" max="520" width="22.42578125" style="18" customWidth="1"/>
    <col min="521" max="521" width="18.42578125" style="18" customWidth="1"/>
    <col min="522" max="522" width="22" style="18" customWidth="1"/>
    <col min="523" max="523" width="21.28515625" style="18" customWidth="1"/>
    <col min="524" max="524" width="23" style="18" customWidth="1"/>
    <col min="525" max="767" width="9.140625" style="18"/>
    <col min="768" max="768" width="6.85546875" style="18" customWidth="1"/>
    <col min="769" max="769" width="7" style="18" customWidth="1"/>
    <col min="770" max="770" width="17.85546875" style="18" bestFit="1" customWidth="1"/>
    <col min="771" max="771" width="12.85546875" style="18" customWidth="1"/>
    <col min="772" max="772" width="24" style="18" customWidth="1"/>
    <col min="773" max="773" width="13.42578125" style="18" bestFit="1" customWidth="1"/>
    <col min="774" max="774" width="13.85546875" style="18" customWidth="1"/>
    <col min="775" max="775" width="13.140625" style="18" customWidth="1"/>
    <col min="776" max="776" width="22.42578125" style="18" customWidth="1"/>
    <col min="777" max="777" width="18.42578125" style="18" customWidth="1"/>
    <col min="778" max="778" width="22" style="18" customWidth="1"/>
    <col min="779" max="779" width="21.28515625" style="18" customWidth="1"/>
    <col min="780" max="780" width="23" style="18" customWidth="1"/>
    <col min="781" max="1023" width="9.140625" style="18"/>
    <col min="1024" max="1024" width="6.85546875" style="18" customWidth="1"/>
    <col min="1025" max="1025" width="7" style="18" customWidth="1"/>
    <col min="1026" max="1026" width="17.85546875" style="18" bestFit="1" customWidth="1"/>
    <col min="1027" max="1027" width="12.85546875" style="18" customWidth="1"/>
    <col min="1028" max="1028" width="24" style="18" customWidth="1"/>
    <col min="1029" max="1029" width="13.42578125" style="18" bestFit="1" customWidth="1"/>
    <col min="1030" max="1030" width="13.85546875" style="18" customWidth="1"/>
    <col min="1031" max="1031" width="13.140625" style="18" customWidth="1"/>
    <col min="1032" max="1032" width="22.42578125" style="18" customWidth="1"/>
    <col min="1033" max="1033" width="18.42578125" style="18" customWidth="1"/>
    <col min="1034" max="1034" width="22" style="18" customWidth="1"/>
    <col min="1035" max="1035" width="21.28515625" style="18" customWidth="1"/>
    <col min="1036" max="1036" width="23" style="18" customWidth="1"/>
    <col min="1037" max="1279" width="9.140625" style="18"/>
    <col min="1280" max="1280" width="6.85546875" style="18" customWidth="1"/>
    <col min="1281" max="1281" width="7" style="18" customWidth="1"/>
    <col min="1282" max="1282" width="17.85546875" style="18" bestFit="1" customWidth="1"/>
    <col min="1283" max="1283" width="12.85546875" style="18" customWidth="1"/>
    <col min="1284" max="1284" width="24" style="18" customWidth="1"/>
    <col min="1285" max="1285" width="13.42578125" style="18" bestFit="1" customWidth="1"/>
    <col min="1286" max="1286" width="13.85546875" style="18" customWidth="1"/>
    <col min="1287" max="1287" width="13.140625" style="18" customWidth="1"/>
    <col min="1288" max="1288" width="22.42578125" style="18" customWidth="1"/>
    <col min="1289" max="1289" width="18.42578125" style="18" customWidth="1"/>
    <col min="1290" max="1290" width="22" style="18" customWidth="1"/>
    <col min="1291" max="1291" width="21.28515625" style="18" customWidth="1"/>
    <col min="1292" max="1292" width="23" style="18" customWidth="1"/>
    <col min="1293" max="1535" width="9.140625" style="18"/>
    <col min="1536" max="1536" width="6.85546875" style="18" customWidth="1"/>
    <col min="1537" max="1537" width="7" style="18" customWidth="1"/>
    <col min="1538" max="1538" width="17.85546875" style="18" bestFit="1" customWidth="1"/>
    <col min="1539" max="1539" width="12.85546875" style="18" customWidth="1"/>
    <col min="1540" max="1540" width="24" style="18" customWidth="1"/>
    <col min="1541" max="1541" width="13.42578125" style="18" bestFit="1" customWidth="1"/>
    <col min="1542" max="1542" width="13.85546875" style="18" customWidth="1"/>
    <col min="1543" max="1543" width="13.140625" style="18" customWidth="1"/>
    <col min="1544" max="1544" width="22.42578125" style="18" customWidth="1"/>
    <col min="1545" max="1545" width="18.42578125" style="18" customWidth="1"/>
    <col min="1546" max="1546" width="22" style="18" customWidth="1"/>
    <col min="1547" max="1547" width="21.28515625" style="18" customWidth="1"/>
    <col min="1548" max="1548" width="23" style="18" customWidth="1"/>
    <col min="1549" max="1791" width="9.140625" style="18"/>
    <col min="1792" max="1792" width="6.85546875" style="18" customWidth="1"/>
    <col min="1793" max="1793" width="7" style="18" customWidth="1"/>
    <col min="1794" max="1794" width="17.85546875" style="18" bestFit="1" customWidth="1"/>
    <col min="1795" max="1795" width="12.85546875" style="18" customWidth="1"/>
    <col min="1796" max="1796" width="24" style="18" customWidth="1"/>
    <col min="1797" max="1797" width="13.42578125" style="18" bestFit="1" customWidth="1"/>
    <col min="1798" max="1798" width="13.85546875" style="18" customWidth="1"/>
    <col min="1799" max="1799" width="13.140625" style="18" customWidth="1"/>
    <col min="1800" max="1800" width="22.42578125" style="18" customWidth="1"/>
    <col min="1801" max="1801" width="18.42578125" style="18" customWidth="1"/>
    <col min="1802" max="1802" width="22" style="18" customWidth="1"/>
    <col min="1803" max="1803" width="21.28515625" style="18" customWidth="1"/>
    <col min="1804" max="1804" width="23" style="18" customWidth="1"/>
    <col min="1805" max="2047" width="9.140625" style="18"/>
    <col min="2048" max="2048" width="6.85546875" style="18" customWidth="1"/>
    <col min="2049" max="2049" width="7" style="18" customWidth="1"/>
    <col min="2050" max="2050" width="17.85546875" style="18" bestFit="1" customWidth="1"/>
    <col min="2051" max="2051" width="12.85546875" style="18" customWidth="1"/>
    <col min="2052" max="2052" width="24" style="18" customWidth="1"/>
    <col min="2053" max="2053" width="13.42578125" style="18" bestFit="1" customWidth="1"/>
    <col min="2054" max="2054" width="13.85546875" style="18" customWidth="1"/>
    <col min="2055" max="2055" width="13.140625" style="18" customWidth="1"/>
    <col min="2056" max="2056" width="22.42578125" style="18" customWidth="1"/>
    <col min="2057" max="2057" width="18.42578125" style="18" customWidth="1"/>
    <col min="2058" max="2058" width="22" style="18" customWidth="1"/>
    <col min="2059" max="2059" width="21.28515625" style="18" customWidth="1"/>
    <col min="2060" max="2060" width="23" style="18" customWidth="1"/>
    <col min="2061" max="2303" width="9.140625" style="18"/>
    <col min="2304" max="2304" width="6.85546875" style="18" customWidth="1"/>
    <col min="2305" max="2305" width="7" style="18" customWidth="1"/>
    <col min="2306" max="2306" width="17.85546875" style="18" bestFit="1" customWidth="1"/>
    <col min="2307" max="2307" width="12.85546875" style="18" customWidth="1"/>
    <col min="2308" max="2308" width="24" style="18" customWidth="1"/>
    <col min="2309" max="2309" width="13.42578125" style="18" bestFit="1" customWidth="1"/>
    <col min="2310" max="2310" width="13.85546875" style="18" customWidth="1"/>
    <col min="2311" max="2311" width="13.140625" style="18" customWidth="1"/>
    <col min="2312" max="2312" width="22.42578125" style="18" customWidth="1"/>
    <col min="2313" max="2313" width="18.42578125" style="18" customWidth="1"/>
    <col min="2314" max="2314" width="22" style="18" customWidth="1"/>
    <col min="2315" max="2315" width="21.28515625" style="18" customWidth="1"/>
    <col min="2316" max="2316" width="23" style="18" customWidth="1"/>
    <col min="2317" max="2559" width="9.140625" style="18"/>
    <col min="2560" max="2560" width="6.85546875" style="18" customWidth="1"/>
    <col min="2561" max="2561" width="7" style="18" customWidth="1"/>
    <col min="2562" max="2562" width="17.85546875" style="18" bestFit="1" customWidth="1"/>
    <col min="2563" max="2563" width="12.85546875" style="18" customWidth="1"/>
    <col min="2564" max="2564" width="24" style="18" customWidth="1"/>
    <col min="2565" max="2565" width="13.42578125" style="18" bestFit="1" customWidth="1"/>
    <col min="2566" max="2566" width="13.85546875" style="18" customWidth="1"/>
    <col min="2567" max="2567" width="13.140625" style="18" customWidth="1"/>
    <col min="2568" max="2568" width="22.42578125" style="18" customWidth="1"/>
    <col min="2569" max="2569" width="18.42578125" style="18" customWidth="1"/>
    <col min="2570" max="2570" width="22" style="18" customWidth="1"/>
    <col min="2571" max="2571" width="21.28515625" style="18" customWidth="1"/>
    <col min="2572" max="2572" width="23" style="18" customWidth="1"/>
    <col min="2573" max="2815" width="9.140625" style="18"/>
    <col min="2816" max="2816" width="6.85546875" style="18" customWidth="1"/>
    <col min="2817" max="2817" width="7" style="18" customWidth="1"/>
    <col min="2818" max="2818" width="17.85546875" style="18" bestFit="1" customWidth="1"/>
    <col min="2819" max="2819" width="12.85546875" style="18" customWidth="1"/>
    <col min="2820" max="2820" width="24" style="18" customWidth="1"/>
    <col min="2821" max="2821" width="13.42578125" style="18" bestFit="1" customWidth="1"/>
    <col min="2822" max="2822" width="13.85546875" style="18" customWidth="1"/>
    <col min="2823" max="2823" width="13.140625" style="18" customWidth="1"/>
    <col min="2824" max="2824" width="22.42578125" style="18" customWidth="1"/>
    <col min="2825" max="2825" width="18.42578125" style="18" customWidth="1"/>
    <col min="2826" max="2826" width="22" style="18" customWidth="1"/>
    <col min="2827" max="2827" width="21.28515625" style="18" customWidth="1"/>
    <col min="2828" max="2828" width="23" style="18" customWidth="1"/>
    <col min="2829" max="3071" width="9.140625" style="18"/>
    <col min="3072" max="3072" width="6.85546875" style="18" customWidth="1"/>
    <col min="3073" max="3073" width="7" style="18" customWidth="1"/>
    <col min="3074" max="3074" width="17.85546875" style="18" bestFit="1" customWidth="1"/>
    <col min="3075" max="3075" width="12.85546875" style="18" customWidth="1"/>
    <col min="3076" max="3076" width="24" style="18" customWidth="1"/>
    <col min="3077" max="3077" width="13.42578125" style="18" bestFit="1" customWidth="1"/>
    <col min="3078" max="3078" width="13.85546875" style="18" customWidth="1"/>
    <col min="3079" max="3079" width="13.140625" style="18" customWidth="1"/>
    <col min="3080" max="3080" width="22.42578125" style="18" customWidth="1"/>
    <col min="3081" max="3081" width="18.42578125" style="18" customWidth="1"/>
    <col min="3082" max="3082" width="22" style="18" customWidth="1"/>
    <col min="3083" max="3083" width="21.28515625" style="18" customWidth="1"/>
    <col min="3084" max="3084" width="23" style="18" customWidth="1"/>
    <col min="3085" max="3327" width="9.140625" style="18"/>
    <col min="3328" max="3328" width="6.85546875" style="18" customWidth="1"/>
    <col min="3329" max="3329" width="7" style="18" customWidth="1"/>
    <col min="3330" max="3330" width="17.85546875" style="18" bestFit="1" customWidth="1"/>
    <col min="3331" max="3331" width="12.85546875" style="18" customWidth="1"/>
    <col min="3332" max="3332" width="24" style="18" customWidth="1"/>
    <col min="3333" max="3333" width="13.42578125" style="18" bestFit="1" customWidth="1"/>
    <col min="3334" max="3334" width="13.85546875" style="18" customWidth="1"/>
    <col min="3335" max="3335" width="13.140625" style="18" customWidth="1"/>
    <col min="3336" max="3336" width="22.42578125" style="18" customWidth="1"/>
    <col min="3337" max="3337" width="18.42578125" style="18" customWidth="1"/>
    <col min="3338" max="3338" width="22" style="18" customWidth="1"/>
    <col min="3339" max="3339" width="21.28515625" style="18" customWidth="1"/>
    <col min="3340" max="3340" width="23" style="18" customWidth="1"/>
    <col min="3341" max="3583" width="9.140625" style="18"/>
    <col min="3584" max="3584" width="6.85546875" style="18" customWidth="1"/>
    <col min="3585" max="3585" width="7" style="18" customWidth="1"/>
    <col min="3586" max="3586" width="17.85546875" style="18" bestFit="1" customWidth="1"/>
    <col min="3587" max="3587" width="12.85546875" style="18" customWidth="1"/>
    <col min="3588" max="3588" width="24" style="18" customWidth="1"/>
    <col min="3589" max="3589" width="13.42578125" style="18" bestFit="1" customWidth="1"/>
    <col min="3590" max="3590" width="13.85546875" style="18" customWidth="1"/>
    <col min="3591" max="3591" width="13.140625" style="18" customWidth="1"/>
    <col min="3592" max="3592" width="22.42578125" style="18" customWidth="1"/>
    <col min="3593" max="3593" width="18.42578125" style="18" customWidth="1"/>
    <col min="3594" max="3594" width="22" style="18" customWidth="1"/>
    <col min="3595" max="3595" width="21.28515625" style="18" customWidth="1"/>
    <col min="3596" max="3596" width="23" style="18" customWidth="1"/>
    <col min="3597" max="3839" width="9.140625" style="18"/>
    <col min="3840" max="3840" width="6.85546875" style="18" customWidth="1"/>
    <col min="3841" max="3841" width="7" style="18" customWidth="1"/>
    <col min="3842" max="3842" width="17.85546875" style="18" bestFit="1" customWidth="1"/>
    <col min="3843" max="3843" width="12.85546875" style="18" customWidth="1"/>
    <col min="3844" max="3844" width="24" style="18" customWidth="1"/>
    <col min="3845" max="3845" width="13.42578125" style="18" bestFit="1" customWidth="1"/>
    <col min="3846" max="3846" width="13.85546875" style="18" customWidth="1"/>
    <col min="3847" max="3847" width="13.140625" style="18" customWidth="1"/>
    <col min="3848" max="3848" width="22.42578125" style="18" customWidth="1"/>
    <col min="3849" max="3849" width="18.42578125" style="18" customWidth="1"/>
    <col min="3850" max="3850" width="22" style="18" customWidth="1"/>
    <col min="3851" max="3851" width="21.28515625" style="18" customWidth="1"/>
    <col min="3852" max="3852" width="23" style="18" customWidth="1"/>
    <col min="3853" max="4095" width="9.140625" style="18"/>
    <col min="4096" max="4096" width="6.85546875" style="18" customWidth="1"/>
    <col min="4097" max="4097" width="7" style="18" customWidth="1"/>
    <col min="4098" max="4098" width="17.85546875" style="18" bestFit="1" customWidth="1"/>
    <col min="4099" max="4099" width="12.85546875" style="18" customWidth="1"/>
    <col min="4100" max="4100" width="24" style="18" customWidth="1"/>
    <col min="4101" max="4101" width="13.42578125" style="18" bestFit="1" customWidth="1"/>
    <col min="4102" max="4102" width="13.85546875" style="18" customWidth="1"/>
    <col min="4103" max="4103" width="13.140625" style="18" customWidth="1"/>
    <col min="4104" max="4104" width="22.42578125" style="18" customWidth="1"/>
    <col min="4105" max="4105" width="18.42578125" style="18" customWidth="1"/>
    <col min="4106" max="4106" width="22" style="18" customWidth="1"/>
    <col min="4107" max="4107" width="21.28515625" style="18" customWidth="1"/>
    <col min="4108" max="4108" width="23" style="18" customWidth="1"/>
    <col min="4109" max="4351" width="9.140625" style="18"/>
    <col min="4352" max="4352" width="6.85546875" style="18" customWidth="1"/>
    <col min="4353" max="4353" width="7" style="18" customWidth="1"/>
    <col min="4354" max="4354" width="17.85546875" style="18" bestFit="1" customWidth="1"/>
    <col min="4355" max="4355" width="12.85546875" style="18" customWidth="1"/>
    <col min="4356" max="4356" width="24" style="18" customWidth="1"/>
    <col min="4357" max="4357" width="13.42578125" style="18" bestFit="1" customWidth="1"/>
    <col min="4358" max="4358" width="13.85546875" style="18" customWidth="1"/>
    <col min="4359" max="4359" width="13.140625" style="18" customWidth="1"/>
    <col min="4360" max="4360" width="22.42578125" style="18" customWidth="1"/>
    <col min="4361" max="4361" width="18.42578125" style="18" customWidth="1"/>
    <col min="4362" max="4362" width="22" style="18" customWidth="1"/>
    <col min="4363" max="4363" width="21.28515625" style="18" customWidth="1"/>
    <col min="4364" max="4364" width="23" style="18" customWidth="1"/>
    <col min="4365" max="4607" width="9.140625" style="18"/>
    <col min="4608" max="4608" width="6.85546875" style="18" customWidth="1"/>
    <col min="4609" max="4609" width="7" style="18" customWidth="1"/>
    <col min="4610" max="4610" width="17.85546875" style="18" bestFit="1" customWidth="1"/>
    <col min="4611" max="4611" width="12.85546875" style="18" customWidth="1"/>
    <col min="4612" max="4612" width="24" style="18" customWidth="1"/>
    <col min="4613" max="4613" width="13.42578125" style="18" bestFit="1" customWidth="1"/>
    <col min="4614" max="4614" width="13.85546875" style="18" customWidth="1"/>
    <col min="4615" max="4615" width="13.140625" style="18" customWidth="1"/>
    <col min="4616" max="4616" width="22.42578125" style="18" customWidth="1"/>
    <col min="4617" max="4617" width="18.42578125" style="18" customWidth="1"/>
    <col min="4618" max="4618" width="22" style="18" customWidth="1"/>
    <col min="4619" max="4619" width="21.28515625" style="18" customWidth="1"/>
    <col min="4620" max="4620" width="23" style="18" customWidth="1"/>
    <col min="4621" max="4863" width="9.140625" style="18"/>
    <col min="4864" max="4864" width="6.85546875" style="18" customWidth="1"/>
    <col min="4865" max="4865" width="7" style="18" customWidth="1"/>
    <col min="4866" max="4866" width="17.85546875" style="18" bestFit="1" customWidth="1"/>
    <col min="4867" max="4867" width="12.85546875" style="18" customWidth="1"/>
    <col min="4868" max="4868" width="24" style="18" customWidth="1"/>
    <col min="4869" max="4869" width="13.42578125" style="18" bestFit="1" customWidth="1"/>
    <col min="4870" max="4870" width="13.85546875" style="18" customWidth="1"/>
    <col min="4871" max="4871" width="13.140625" style="18" customWidth="1"/>
    <col min="4872" max="4872" width="22.42578125" style="18" customWidth="1"/>
    <col min="4873" max="4873" width="18.42578125" style="18" customWidth="1"/>
    <col min="4874" max="4874" width="22" style="18" customWidth="1"/>
    <col min="4875" max="4875" width="21.28515625" style="18" customWidth="1"/>
    <col min="4876" max="4876" width="23" style="18" customWidth="1"/>
    <col min="4877" max="5119" width="9.140625" style="18"/>
    <col min="5120" max="5120" width="6.85546875" style="18" customWidth="1"/>
    <col min="5121" max="5121" width="7" style="18" customWidth="1"/>
    <col min="5122" max="5122" width="17.85546875" style="18" bestFit="1" customWidth="1"/>
    <col min="5123" max="5123" width="12.85546875" style="18" customWidth="1"/>
    <col min="5124" max="5124" width="24" style="18" customWidth="1"/>
    <col min="5125" max="5125" width="13.42578125" style="18" bestFit="1" customWidth="1"/>
    <col min="5126" max="5126" width="13.85546875" style="18" customWidth="1"/>
    <col min="5127" max="5127" width="13.140625" style="18" customWidth="1"/>
    <col min="5128" max="5128" width="22.42578125" style="18" customWidth="1"/>
    <col min="5129" max="5129" width="18.42578125" style="18" customWidth="1"/>
    <col min="5130" max="5130" width="22" style="18" customWidth="1"/>
    <col min="5131" max="5131" width="21.28515625" style="18" customWidth="1"/>
    <col min="5132" max="5132" width="23" style="18" customWidth="1"/>
    <col min="5133" max="5375" width="9.140625" style="18"/>
    <col min="5376" max="5376" width="6.85546875" style="18" customWidth="1"/>
    <col min="5377" max="5377" width="7" style="18" customWidth="1"/>
    <col min="5378" max="5378" width="17.85546875" style="18" bestFit="1" customWidth="1"/>
    <col min="5379" max="5379" width="12.85546875" style="18" customWidth="1"/>
    <col min="5380" max="5380" width="24" style="18" customWidth="1"/>
    <col min="5381" max="5381" width="13.42578125" style="18" bestFit="1" customWidth="1"/>
    <col min="5382" max="5382" width="13.85546875" style="18" customWidth="1"/>
    <col min="5383" max="5383" width="13.140625" style="18" customWidth="1"/>
    <col min="5384" max="5384" width="22.42578125" style="18" customWidth="1"/>
    <col min="5385" max="5385" width="18.42578125" style="18" customWidth="1"/>
    <col min="5386" max="5386" width="22" style="18" customWidth="1"/>
    <col min="5387" max="5387" width="21.28515625" style="18" customWidth="1"/>
    <col min="5388" max="5388" width="23" style="18" customWidth="1"/>
    <col min="5389" max="5631" width="9.140625" style="18"/>
    <col min="5632" max="5632" width="6.85546875" style="18" customWidth="1"/>
    <col min="5633" max="5633" width="7" style="18" customWidth="1"/>
    <col min="5634" max="5634" width="17.85546875" style="18" bestFit="1" customWidth="1"/>
    <col min="5635" max="5635" width="12.85546875" style="18" customWidth="1"/>
    <col min="5636" max="5636" width="24" style="18" customWidth="1"/>
    <col min="5637" max="5637" width="13.42578125" style="18" bestFit="1" customWidth="1"/>
    <col min="5638" max="5638" width="13.85546875" style="18" customWidth="1"/>
    <col min="5639" max="5639" width="13.140625" style="18" customWidth="1"/>
    <col min="5640" max="5640" width="22.42578125" style="18" customWidth="1"/>
    <col min="5641" max="5641" width="18.42578125" style="18" customWidth="1"/>
    <col min="5642" max="5642" width="22" style="18" customWidth="1"/>
    <col min="5643" max="5643" width="21.28515625" style="18" customWidth="1"/>
    <col min="5644" max="5644" width="23" style="18" customWidth="1"/>
    <col min="5645" max="5887" width="9.140625" style="18"/>
    <col min="5888" max="5888" width="6.85546875" style="18" customWidth="1"/>
    <col min="5889" max="5889" width="7" style="18" customWidth="1"/>
    <col min="5890" max="5890" width="17.85546875" style="18" bestFit="1" customWidth="1"/>
    <col min="5891" max="5891" width="12.85546875" style="18" customWidth="1"/>
    <col min="5892" max="5892" width="24" style="18" customWidth="1"/>
    <col min="5893" max="5893" width="13.42578125" style="18" bestFit="1" customWidth="1"/>
    <col min="5894" max="5894" width="13.85546875" style="18" customWidth="1"/>
    <col min="5895" max="5895" width="13.140625" style="18" customWidth="1"/>
    <col min="5896" max="5896" width="22.42578125" style="18" customWidth="1"/>
    <col min="5897" max="5897" width="18.42578125" style="18" customWidth="1"/>
    <col min="5898" max="5898" width="22" style="18" customWidth="1"/>
    <col min="5899" max="5899" width="21.28515625" style="18" customWidth="1"/>
    <col min="5900" max="5900" width="23" style="18" customWidth="1"/>
    <col min="5901" max="6143" width="9.140625" style="18"/>
    <col min="6144" max="6144" width="6.85546875" style="18" customWidth="1"/>
    <col min="6145" max="6145" width="7" style="18" customWidth="1"/>
    <col min="6146" max="6146" width="17.85546875" style="18" bestFit="1" customWidth="1"/>
    <col min="6147" max="6147" width="12.85546875" style="18" customWidth="1"/>
    <col min="6148" max="6148" width="24" style="18" customWidth="1"/>
    <col min="6149" max="6149" width="13.42578125" style="18" bestFit="1" customWidth="1"/>
    <col min="6150" max="6150" width="13.85546875" style="18" customWidth="1"/>
    <col min="6151" max="6151" width="13.140625" style="18" customWidth="1"/>
    <col min="6152" max="6152" width="22.42578125" style="18" customWidth="1"/>
    <col min="6153" max="6153" width="18.42578125" style="18" customWidth="1"/>
    <col min="6154" max="6154" width="22" style="18" customWidth="1"/>
    <col min="6155" max="6155" width="21.28515625" style="18" customWidth="1"/>
    <col min="6156" max="6156" width="23" style="18" customWidth="1"/>
    <col min="6157" max="6399" width="9.140625" style="18"/>
    <col min="6400" max="6400" width="6.85546875" style="18" customWidth="1"/>
    <col min="6401" max="6401" width="7" style="18" customWidth="1"/>
    <col min="6402" max="6402" width="17.85546875" style="18" bestFit="1" customWidth="1"/>
    <col min="6403" max="6403" width="12.85546875" style="18" customWidth="1"/>
    <col min="6404" max="6404" width="24" style="18" customWidth="1"/>
    <col min="6405" max="6405" width="13.42578125" style="18" bestFit="1" customWidth="1"/>
    <col min="6406" max="6406" width="13.85546875" style="18" customWidth="1"/>
    <col min="6407" max="6407" width="13.140625" style="18" customWidth="1"/>
    <col min="6408" max="6408" width="22.42578125" style="18" customWidth="1"/>
    <col min="6409" max="6409" width="18.42578125" style="18" customWidth="1"/>
    <col min="6410" max="6410" width="22" style="18" customWidth="1"/>
    <col min="6411" max="6411" width="21.28515625" style="18" customWidth="1"/>
    <col min="6412" max="6412" width="23" style="18" customWidth="1"/>
    <col min="6413" max="6655" width="9.140625" style="18"/>
    <col min="6656" max="6656" width="6.85546875" style="18" customWidth="1"/>
    <col min="6657" max="6657" width="7" style="18" customWidth="1"/>
    <col min="6658" max="6658" width="17.85546875" style="18" bestFit="1" customWidth="1"/>
    <col min="6659" max="6659" width="12.85546875" style="18" customWidth="1"/>
    <col min="6660" max="6660" width="24" style="18" customWidth="1"/>
    <col min="6661" max="6661" width="13.42578125" style="18" bestFit="1" customWidth="1"/>
    <col min="6662" max="6662" width="13.85546875" style="18" customWidth="1"/>
    <col min="6663" max="6663" width="13.140625" style="18" customWidth="1"/>
    <col min="6664" max="6664" width="22.42578125" style="18" customWidth="1"/>
    <col min="6665" max="6665" width="18.42578125" style="18" customWidth="1"/>
    <col min="6666" max="6666" width="22" style="18" customWidth="1"/>
    <col min="6667" max="6667" width="21.28515625" style="18" customWidth="1"/>
    <col min="6668" max="6668" width="23" style="18" customWidth="1"/>
    <col min="6669" max="6911" width="9.140625" style="18"/>
    <col min="6912" max="6912" width="6.85546875" style="18" customWidth="1"/>
    <col min="6913" max="6913" width="7" style="18" customWidth="1"/>
    <col min="6914" max="6914" width="17.85546875" style="18" bestFit="1" customWidth="1"/>
    <col min="6915" max="6915" width="12.85546875" style="18" customWidth="1"/>
    <col min="6916" max="6916" width="24" style="18" customWidth="1"/>
    <col min="6917" max="6917" width="13.42578125" style="18" bestFit="1" customWidth="1"/>
    <col min="6918" max="6918" width="13.85546875" style="18" customWidth="1"/>
    <col min="6919" max="6919" width="13.140625" style="18" customWidth="1"/>
    <col min="6920" max="6920" width="22.42578125" style="18" customWidth="1"/>
    <col min="6921" max="6921" width="18.42578125" style="18" customWidth="1"/>
    <col min="6922" max="6922" width="22" style="18" customWidth="1"/>
    <col min="6923" max="6923" width="21.28515625" style="18" customWidth="1"/>
    <col min="6924" max="6924" width="23" style="18" customWidth="1"/>
    <col min="6925" max="7167" width="9.140625" style="18"/>
    <col min="7168" max="7168" width="6.85546875" style="18" customWidth="1"/>
    <col min="7169" max="7169" width="7" style="18" customWidth="1"/>
    <col min="7170" max="7170" width="17.85546875" style="18" bestFit="1" customWidth="1"/>
    <col min="7171" max="7171" width="12.85546875" style="18" customWidth="1"/>
    <col min="7172" max="7172" width="24" style="18" customWidth="1"/>
    <col min="7173" max="7173" width="13.42578125" style="18" bestFit="1" customWidth="1"/>
    <col min="7174" max="7174" width="13.85546875" style="18" customWidth="1"/>
    <col min="7175" max="7175" width="13.140625" style="18" customWidth="1"/>
    <col min="7176" max="7176" width="22.42578125" style="18" customWidth="1"/>
    <col min="7177" max="7177" width="18.42578125" style="18" customWidth="1"/>
    <col min="7178" max="7178" width="22" style="18" customWidth="1"/>
    <col min="7179" max="7179" width="21.28515625" style="18" customWidth="1"/>
    <col min="7180" max="7180" width="23" style="18" customWidth="1"/>
    <col min="7181" max="7423" width="9.140625" style="18"/>
    <col min="7424" max="7424" width="6.85546875" style="18" customWidth="1"/>
    <col min="7425" max="7425" width="7" style="18" customWidth="1"/>
    <col min="7426" max="7426" width="17.85546875" style="18" bestFit="1" customWidth="1"/>
    <col min="7427" max="7427" width="12.85546875" style="18" customWidth="1"/>
    <col min="7428" max="7428" width="24" style="18" customWidth="1"/>
    <col min="7429" max="7429" width="13.42578125" style="18" bestFit="1" customWidth="1"/>
    <col min="7430" max="7430" width="13.85546875" style="18" customWidth="1"/>
    <col min="7431" max="7431" width="13.140625" style="18" customWidth="1"/>
    <col min="7432" max="7432" width="22.42578125" style="18" customWidth="1"/>
    <col min="7433" max="7433" width="18.42578125" style="18" customWidth="1"/>
    <col min="7434" max="7434" width="22" style="18" customWidth="1"/>
    <col min="7435" max="7435" width="21.28515625" style="18" customWidth="1"/>
    <col min="7436" max="7436" width="23" style="18" customWidth="1"/>
    <col min="7437" max="7679" width="9.140625" style="18"/>
    <col min="7680" max="7680" width="6.85546875" style="18" customWidth="1"/>
    <col min="7681" max="7681" width="7" style="18" customWidth="1"/>
    <col min="7682" max="7682" width="17.85546875" style="18" bestFit="1" customWidth="1"/>
    <col min="7683" max="7683" width="12.85546875" style="18" customWidth="1"/>
    <col min="7684" max="7684" width="24" style="18" customWidth="1"/>
    <col min="7685" max="7685" width="13.42578125" style="18" bestFit="1" customWidth="1"/>
    <col min="7686" max="7686" width="13.85546875" style="18" customWidth="1"/>
    <col min="7687" max="7687" width="13.140625" style="18" customWidth="1"/>
    <col min="7688" max="7688" width="22.42578125" style="18" customWidth="1"/>
    <col min="7689" max="7689" width="18.42578125" style="18" customWidth="1"/>
    <col min="7690" max="7690" width="22" style="18" customWidth="1"/>
    <col min="7691" max="7691" width="21.28515625" style="18" customWidth="1"/>
    <col min="7692" max="7692" width="23" style="18" customWidth="1"/>
    <col min="7693" max="7935" width="9.140625" style="18"/>
    <col min="7936" max="7936" width="6.85546875" style="18" customWidth="1"/>
    <col min="7937" max="7937" width="7" style="18" customWidth="1"/>
    <col min="7938" max="7938" width="17.85546875" style="18" bestFit="1" customWidth="1"/>
    <col min="7939" max="7939" width="12.85546875" style="18" customWidth="1"/>
    <col min="7940" max="7940" width="24" style="18" customWidth="1"/>
    <col min="7941" max="7941" width="13.42578125" style="18" bestFit="1" customWidth="1"/>
    <col min="7942" max="7942" width="13.85546875" style="18" customWidth="1"/>
    <col min="7943" max="7943" width="13.140625" style="18" customWidth="1"/>
    <col min="7944" max="7944" width="22.42578125" style="18" customWidth="1"/>
    <col min="7945" max="7945" width="18.42578125" style="18" customWidth="1"/>
    <col min="7946" max="7946" width="22" style="18" customWidth="1"/>
    <col min="7947" max="7947" width="21.28515625" style="18" customWidth="1"/>
    <col min="7948" max="7948" width="23" style="18" customWidth="1"/>
    <col min="7949" max="8191" width="9.140625" style="18"/>
    <col min="8192" max="8192" width="6.85546875" style="18" customWidth="1"/>
    <col min="8193" max="8193" width="7" style="18" customWidth="1"/>
    <col min="8194" max="8194" width="17.85546875" style="18" bestFit="1" customWidth="1"/>
    <col min="8195" max="8195" width="12.85546875" style="18" customWidth="1"/>
    <col min="8196" max="8196" width="24" style="18" customWidth="1"/>
    <col min="8197" max="8197" width="13.42578125" style="18" bestFit="1" customWidth="1"/>
    <col min="8198" max="8198" width="13.85546875" style="18" customWidth="1"/>
    <col min="8199" max="8199" width="13.140625" style="18" customWidth="1"/>
    <col min="8200" max="8200" width="22.42578125" style="18" customWidth="1"/>
    <col min="8201" max="8201" width="18.42578125" style="18" customWidth="1"/>
    <col min="8202" max="8202" width="22" style="18" customWidth="1"/>
    <col min="8203" max="8203" width="21.28515625" style="18" customWidth="1"/>
    <col min="8204" max="8204" width="23" style="18" customWidth="1"/>
    <col min="8205" max="8447" width="9.140625" style="18"/>
    <col min="8448" max="8448" width="6.85546875" style="18" customWidth="1"/>
    <col min="8449" max="8449" width="7" style="18" customWidth="1"/>
    <col min="8450" max="8450" width="17.85546875" style="18" bestFit="1" customWidth="1"/>
    <col min="8451" max="8451" width="12.85546875" style="18" customWidth="1"/>
    <col min="8452" max="8452" width="24" style="18" customWidth="1"/>
    <col min="8453" max="8453" width="13.42578125" style="18" bestFit="1" customWidth="1"/>
    <col min="8454" max="8454" width="13.85546875" style="18" customWidth="1"/>
    <col min="8455" max="8455" width="13.140625" style="18" customWidth="1"/>
    <col min="8456" max="8456" width="22.42578125" style="18" customWidth="1"/>
    <col min="8457" max="8457" width="18.42578125" style="18" customWidth="1"/>
    <col min="8458" max="8458" width="22" style="18" customWidth="1"/>
    <col min="8459" max="8459" width="21.28515625" style="18" customWidth="1"/>
    <col min="8460" max="8460" width="23" style="18" customWidth="1"/>
    <col min="8461" max="8703" width="9.140625" style="18"/>
    <col min="8704" max="8704" width="6.85546875" style="18" customWidth="1"/>
    <col min="8705" max="8705" width="7" style="18" customWidth="1"/>
    <col min="8706" max="8706" width="17.85546875" style="18" bestFit="1" customWidth="1"/>
    <col min="8707" max="8707" width="12.85546875" style="18" customWidth="1"/>
    <col min="8708" max="8708" width="24" style="18" customWidth="1"/>
    <col min="8709" max="8709" width="13.42578125" style="18" bestFit="1" customWidth="1"/>
    <col min="8710" max="8710" width="13.85546875" style="18" customWidth="1"/>
    <col min="8711" max="8711" width="13.140625" style="18" customWidth="1"/>
    <col min="8712" max="8712" width="22.42578125" style="18" customWidth="1"/>
    <col min="8713" max="8713" width="18.42578125" style="18" customWidth="1"/>
    <col min="8714" max="8714" width="22" style="18" customWidth="1"/>
    <col min="8715" max="8715" width="21.28515625" style="18" customWidth="1"/>
    <col min="8716" max="8716" width="23" style="18" customWidth="1"/>
    <col min="8717" max="8959" width="9.140625" style="18"/>
    <col min="8960" max="8960" width="6.85546875" style="18" customWidth="1"/>
    <col min="8961" max="8961" width="7" style="18" customWidth="1"/>
    <col min="8962" max="8962" width="17.85546875" style="18" bestFit="1" customWidth="1"/>
    <col min="8963" max="8963" width="12.85546875" style="18" customWidth="1"/>
    <col min="8964" max="8964" width="24" style="18" customWidth="1"/>
    <col min="8965" max="8965" width="13.42578125" style="18" bestFit="1" customWidth="1"/>
    <col min="8966" max="8966" width="13.85546875" style="18" customWidth="1"/>
    <col min="8967" max="8967" width="13.140625" style="18" customWidth="1"/>
    <col min="8968" max="8968" width="22.42578125" style="18" customWidth="1"/>
    <col min="8969" max="8969" width="18.42578125" style="18" customWidth="1"/>
    <col min="8970" max="8970" width="22" style="18" customWidth="1"/>
    <col min="8971" max="8971" width="21.28515625" style="18" customWidth="1"/>
    <col min="8972" max="8972" width="23" style="18" customWidth="1"/>
    <col min="8973" max="9215" width="9.140625" style="18"/>
    <col min="9216" max="9216" width="6.85546875" style="18" customWidth="1"/>
    <col min="9217" max="9217" width="7" style="18" customWidth="1"/>
    <col min="9218" max="9218" width="17.85546875" style="18" bestFit="1" customWidth="1"/>
    <col min="9219" max="9219" width="12.85546875" style="18" customWidth="1"/>
    <col min="9220" max="9220" width="24" style="18" customWidth="1"/>
    <col min="9221" max="9221" width="13.42578125" style="18" bestFit="1" customWidth="1"/>
    <col min="9222" max="9222" width="13.85546875" style="18" customWidth="1"/>
    <col min="9223" max="9223" width="13.140625" style="18" customWidth="1"/>
    <col min="9224" max="9224" width="22.42578125" style="18" customWidth="1"/>
    <col min="9225" max="9225" width="18.42578125" style="18" customWidth="1"/>
    <col min="9226" max="9226" width="22" style="18" customWidth="1"/>
    <col min="9227" max="9227" width="21.28515625" style="18" customWidth="1"/>
    <col min="9228" max="9228" width="23" style="18" customWidth="1"/>
    <col min="9229" max="9471" width="9.140625" style="18"/>
    <col min="9472" max="9472" width="6.85546875" style="18" customWidth="1"/>
    <col min="9473" max="9473" width="7" style="18" customWidth="1"/>
    <col min="9474" max="9474" width="17.85546875" style="18" bestFit="1" customWidth="1"/>
    <col min="9475" max="9475" width="12.85546875" style="18" customWidth="1"/>
    <col min="9476" max="9476" width="24" style="18" customWidth="1"/>
    <col min="9477" max="9477" width="13.42578125" style="18" bestFit="1" customWidth="1"/>
    <col min="9478" max="9478" width="13.85546875" style="18" customWidth="1"/>
    <col min="9479" max="9479" width="13.140625" style="18" customWidth="1"/>
    <col min="9480" max="9480" width="22.42578125" style="18" customWidth="1"/>
    <col min="9481" max="9481" width="18.42578125" style="18" customWidth="1"/>
    <col min="9482" max="9482" width="22" style="18" customWidth="1"/>
    <col min="9483" max="9483" width="21.28515625" style="18" customWidth="1"/>
    <col min="9484" max="9484" width="23" style="18" customWidth="1"/>
    <col min="9485" max="9727" width="9.140625" style="18"/>
    <col min="9728" max="9728" width="6.85546875" style="18" customWidth="1"/>
    <col min="9729" max="9729" width="7" style="18" customWidth="1"/>
    <col min="9730" max="9730" width="17.85546875" style="18" bestFit="1" customWidth="1"/>
    <col min="9731" max="9731" width="12.85546875" style="18" customWidth="1"/>
    <col min="9732" max="9732" width="24" style="18" customWidth="1"/>
    <col min="9733" max="9733" width="13.42578125" style="18" bestFit="1" customWidth="1"/>
    <col min="9734" max="9734" width="13.85546875" style="18" customWidth="1"/>
    <col min="9735" max="9735" width="13.140625" style="18" customWidth="1"/>
    <col min="9736" max="9736" width="22.42578125" style="18" customWidth="1"/>
    <col min="9737" max="9737" width="18.42578125" style="18" customWidth="1"/>
    <col min="9738" max="9738" width="22" style="18" customWidth="1"/>
    <col min="9739" max="9739" width="21.28515625" style="18" customWidth="1"/>
    <col min="9740" max="9740" width="23" style="18" customWidth="1"/>
    <col min="9741" max="9983" width="9.140625" style="18"/>
    <col min="9984" max="9984" width="6.85546875" style="18" customWidth="1"/>
    <col min="9985" max="9985" width="7" style="18" customWidth="1"/>
    <col min="9986" max="9986" width="17.85546875" style="18" bestFit="1" customWidth="1"/>
    <col min="9987" max="9987" width="12.85546875" style="18" customWidth="1"/>
    <col min="9988" max="9988" width="24" style="18" customWidth="1"/>
    <col min="9989" max="9989" width="13.42578125" style="18" bestFit="1" customWidth="1"/>
    <col min="9990" max="9990" width="13.85546875" style="18" customWidth="1"/>
    <col min="9991" max="9991" width="13.140625" style="18" customWidth="1"/>
    <col min="9992" max="9992" width="22.42578125" style="18" customWidth="1"/>
    <col min="9993" max="9993" width="18.42578125" style="18" customWidth="1"/>
    <col min="9994" max="9994" width="22" style="18" customWidth="1"/>
    <col min="9995" max="9995" width="21.28515625" style="18" customWidth="1"/>
    <col min="9996" max="9996" width="23" style="18" customWidth="1"/>
    <col min="9997" max="10239" width="9.140625" style="18"/>
    <col min="10240" max="10240" width="6.85546875" style="18" customWidth="1"/>
    <col min="10241" max="10241" width="7" style="18" customWidth="1"/>
    <col min="10242" max="10242" width="17.85546875" style="18" bestFit="1" customWidth="1"/>
    <col min="10243" max="10243" width="12.85546875" style="18" customWidth="1"/>
    <col min="10244" max="10244" width="24" style="18" customWidth="1"/>
    <col min="10245" max="10245" width="13.42578125" style="18" bestFit="1" customWidth="1"/>
    <col min="10246" max="10246" width="13.85546875" style="18" customWidth="1"/>
    <col min="10247" max="10247" width="13.140625" style="18" customWidth="1"/>
    <col min="10248" max="10248" width="22.42578125" style="18" customWidth="1"/>
    <col min="10249" max="10249" width="18.42578125" style="18" customWidth="1"/>
    <col min="10250" max="10250" width="22" style="18" customWidth="1"/>
    <col min="10251" max="10251" width="21.28515625" style="18" customWidth="1"/>
    <col min="10252" max="10252" width="23" style="18" customWidth="1"/>
    <col min="10253" max="10495" width="9.140625" style="18"/>
    <col min="10496" max="10496" width="6.85546875" style="18" customWidth="1"/>
    <col min="10497" max="10497" width="7" style="18" customWidth="1"/>
    <col min="10498" max="10498" width="17.85546875" style="18" bestFit="1" customWidth="1"/>
    <col min="10499" max="10499" width="12.85546875" style="18" customWidth="1"/>
    <col min="10500" max="10500" width="24" style="18" customWidth="1"/>
    <col min="10501" max="10501" width="13.42578125" style="18" bestFit="1" customWidth="1"/>
    <col min="10502" max="10502" width="13.85546875" style="18" customWidth="1"/>
    <col min="10503" max="10503" width="13.140625" style="18" customWidth="1"/>
    <col min="10504" max="10504" width="22.42578125" style="18" customWidth="1"/>
    <col min="10505" max="10505" width="18.42578125" style="18" customWidth="1"/>
    <col min="10506" max="10506" width="22" style="18" customWidth="1"/>
    <col min="10507" max="10507" width="21.28515625" style="18" customWidth="1"/>
    <col min="10508" max="10508" width="23" style="18" customWidth="1"/>
    <col min="10509" max="10751" width="9.140625" style="18"/>
    <col min="10752" max="10752" width="6.85546875" style="18" customWidth="1"/>
    <col min="10753" max="10753" width="7" style="18" customWidth="1"/>
    <col min="10754" max="10754" width="17.85546875" style="18" bestFit="1" customWidth="1"/>
    <col min="10755" max="10755" width="12.85546875" style="18" customWidth="1"/>
    <col min="10756" max="10756" width="24" style="18" customWidth="1"/>
    <col min="10757" max="10757" width="13.42578125" style="18" bestFit="1" customWidth="1"/>
    <col min="10758" max="10758" width="13.85546875" style="18" customWidth="1"/>
    <col min="10759" max="10759" width="13.140625" style="18" customWidth="1"/>
    <col min="10760" max="10760" width="22.42578125" style="18" customWidth="1"/>
    <col min="10761" max="10761" width="18.42578125" style="18" customWidth="1"/>
    <col min="10762" max="10762" width="22" style="18" customWidth="1"/>
    <col min="10763" max="10763" width="21.28515625" style="18" customWidth="1"/>
    <col min="10764" max="10764" width="23" style="18" customWidth="1"/>
    <col min="10765" max="11007" width="9.140625" style="18"/>
    <col min="11008" max="11008" width="6.85546875" style="18" customWidth="1"/>
    <col min="11009" max="11009" width="7" style="18" customWidth="1"/>
    <col min="11010" max="11010" width="17.85546875" style="18" bestFit="1" customWidth="1"/>
    <col min="11011" max="11011" width="12.85546875" style="18" customWidth="1"/>
    <col min="11012" max="11012" width="24" style="18" customWidth="1"/>
    <col min="11013" max="11013" width="13.42578125" style="18" bestFit="1" customWidth="1"/>
    <col min="11014" max="11014" width="13.85546875" style="18" customWidth="1"/>
    <col min="11015" max="11015" width="13.140625" style="18" customWidth="1"/>
    <col min="11016" max="11016" width="22.42578125" style="18" customWidth="1"/>
    <col min="11017" max="11017" width="18.42578125" style="18" customWidth="1"/>
    <col min="11018" max="11018" width="22" style="18" customWidth="1"/>
    <col min="11019" max="11019" width="21.28515625" style="18" customWidth="1"/>
    <col min="11020" max="11020" width="23" style="18" customWidth="1"/>
    <col min="11021" max="11263" width="9.140625" style="18"/>
    <col min="11264" max="11264" width="6.85546875" style="18" customWidth="1"/>
    <col min="11265" max="11265" width="7" style="18" customWidth="1"/>
    <col min="11266" max="11266" width="17.85546875" style="18" bestFit="1" customWidth="1"/>
    <col min="11267" max="11267" width="12.85546875" style="18" customWidth="1"/>
    <col min="11268" max="11268" width="24" style="18" customWidth="1"/>
    <col min="11269" max="11269" width="13.42578125" style="18" bestFit="1" customWidth="1"/>
    <col min="11270" max="11270" width="13.85546875" style="18" customWidth="1"/>
    <col min="11271" max="11271" width="13.140625" style="18" customWidth="1"/>
    <col min="11272" max="11272" width="22.42578125" style="18" customWidth="1"/>
    <col min="11273" max="11273" width="18.42578125" style="18" customWidth="1"/>
    <col min="11274" max="11274" width="22" style="18" customWidth="1"/>
    <col min="11275" max="11275" width="21.28515625" style="18" customWidth="1"/>
    <col min="11276" max="11276" width="23" style="18" customWidth="1"/>
    <col min="11277" max="11519" width="9.140625" style="18"/>
    <col min="11520" max="11520" width="6.85546875" style="18" customWidth="1"/>
    <col min="11521" max="11521" width="7" style="18" customWidth="1"/>
    <col min="11522" max="11522" width="17.85546875" style="18" bestFit="1" customWidth="1"/>
    <col min="11523" max="11523" width="12.85546875" style="18" customWidth="1"/>
    <col min="11524" max="11524" width="24" style="18" customWidth="1"/>
    <col min="11525" max="11525" width="13.42578125" style="18" bestFit="1" customWidth="1"/>
    <col min="11526" max="11526" width="13.85546875" style="18" customWidth="1"/>
    <col min="11527" max="11527" width="13.140625" style="18" customWidth="1"/>
    <col min="11528" max="11528" width="22.42578125" style="18" customWidth="1"/>
    <col min="11529" max="11529" width="18.42578125" style="18" customWidth="1"/>
    <col min="11530" max="11530" width="22" style="18" customWidth="1"/>
    <col min="11531" max="11531" width="21.28515625" style="18" customWidth="1"/>
    <col min="11532" max="11532" width="23" style="18" customWidth="1"/>
    <col min="11533" max="11775" width="9.140625" style="18"/>
    <col min="11776" max="11776" width="6.85546875" style="18" customWidth="1"/>
    <col min="11777" max="11777" width="7" style="18" customWidth="1"/>
    <col min="11778" max="11778" width="17.85546875" style="18" bestFit="1" customWidth="1"/>
    <col min="11779" max="11779" width="12.85546875" style="18" customWidth="1"/>
    <col min="11780" max="11780" width="24" style="18" customWidth="1"/>
    <col min="11781" max="11781" width="13.42578125" style="18" bestFit="1" customWidth="1"/>
    <col min="11782" max="11782" width="13.85546875" style="18" customWidth="1"/>
    <col min="11783" max="11783" width="13.140625" style="18" customWidth="1"/>
    <col min="11784" max="11784" width="22.42578125" style="18" customWidth="1"/>
    <col min="11785" max="11785" width="18.42578125" style="18" customWidth="1"/>
    <col min="11786" max="11786" width="22" style="18" customWidth="1"/>
    <col min="11787" max="11787" width="21.28515625" style="18" customWidth="1"/>
    <col min="11788" max="11788" width="23" style="18" customWidth="1"/>
    <col min="11789" max="12031" width="9.140625" style="18"/>
    <col min="12032" max="12032" width="6.85546875" style="18" customWidth="1"/>
    <col min="12033" max="12033" width="7" style="18" customWidth="1"/>
    <col min="12034" max="12034" width="17.85546875" style="18" bestFit="1" customWidth="1"/>
    <col min="12035" max="12035" width="12.85546875" style="18" customWidth="1"/>
    <col min="12036" max="12036" width="24" style="18" customWidth="1"/>
    <col min="12037" max="12037" width="13.42578125" style="18" bestFit="1" customWidth="1"/>
    <col min="12038" max="12038" width="13.85546875" style="18" customWidth="1"/>
    <col min="12039" max="12039" width="13.140625" style="18" customWidth="1"/>
    <col min="12040" max="12040" width="22.42578125" style="18" customWidth="1"/>
    <col min="12041" max="12041" width="18.42578125" style="18" customWidth="1"/>
    <col min="12042" max="12042" width="22" style="18" customWidth="1"/>
    <col min="12043" max="12043" width="21.28515625" style="18" customWidth="1"/>
    <col min="12044" max="12044" width="23" style="18" customWidth="1"/>
    <col min="12045" max="12287" width="9.140625" style="18"/>
    <col min="12288" max="12288" width="6.85546875" style="18" customWidth="1"/>
    <col min="12289" max="12289" width="7" style="18" customWidth="1"/>
    <col min="12290" max="12290" width="17.85546875" style="18" bestFit="1" customWidth="1"/>
    <col min="12291" max="12291" width="12.85546875" style="18" customWidth="1"/>
    <col min="12292" max="12292" width="24" style="18" customWidth="1"/>
    <col min="12293" max="12293" width="13.42578125" style="18" bestFit="1" customWidth="1"/>
    <col min="12294" max="12294" width="13.85546875" style="18" customWidth="1"/>
    <col min="12295" max="12295" width="13.140625" style="18" customWidth="1"/>
    <col min="12296" max="12296" width="22.42578125" style="18" customWidth="1"/>
    <col min="12297" max="12297" width="18.42578125" style="18" customWidth="1"/>
    <col min="12298" max="12298" width="22" style="18" customWidth="1"/>
    <col min="12299" max="12299" width="21.28515625" style="18" customWidth="1"/>
    <col min="12300" max="12300" width="23" style="18" customWidth="1"/>
    <col min="12301" max="12543" width="9.140625" style="18"/>
    <col min="12544" max="12544" width="6.85546875" style="18" customWidth="1"/>
    <col min="12545" max="12545" width="7" style="18" customWidth="1"/>
    <col min="12546" max="12546" width="17.85546875" style="18" bestFit="1" customWidth="1"/>
    <col min="12547" max="12547" width="12.85546875" style="18" customWidth="1"/>
    <col min="12548" max="12548" width="24" style="18" customWidth="1"/>
    <col min="12549" max="12549" width="13.42578125" style="18" bestFit="1" customWidth="1"/>
    <col min="12550" max="12550" width="13.85546875" style="18" customWidth="1"/>
    <col min="12551" max="12551" width="13.140625" style="18" customWidth="1"/>
    <col min="12552" max="12552" width="22.42578125" style="18" customWidth="1"/>
    <col min="12553" max="12553" width="18.42578125" style="18" customWidth="1"/>
    <col min="12554" max="12554" width="22" style="18" customWidth="1"/>
    <col min="12555" max="12555" width="21.28515625" style="18" customWidth="1"/>
    <col min="12556" max="12556" width="23" style="18" customWidth="1"/>
    <col min="12557" max="12799" width="9.140625" style="18"/>
    <col min="12800" max="12800" width="6.85546875" style="18" customWidth="1"/>
    <col min="12801" max="12801" width="7" style="18" customWidth="1"/>
    <col min="12802" max="12802" width="17.85546875" style="18" bestFit="1" customWidth="1"/>
    <col min="12803" max="12803" width="12.85546875" style="18" customWidth="1"/>
    <col min="12804" max="12804" width="24" style="18" customWidth="1"/>
    <col min="12805" max="12805" width="13.42578125" style="18" bestFit="1" customWidth="1"/>
    <col min="12806" max="12806" width="13.85546875" style="18" customWidth="1"/>
    <col min="12807" max="12807" width="13.140625" style="18" customWidth="1"/>
    <col min="12808" max="12808" width="22.42578125" style="18" customWidth="1"/>
    <col min="12809" max="12809" width="18.42578125" style="18" customWidth="1"/>
    <col min="12810" max="12810" width="22" style="18" customWidth="1"/>
    <col min="12811" max="12811" width="21.28515625" style="18" customWidth="1"/>
    <col min="12812" max="12812" width="23" style="18" customWidth="1"/>
    <col min="12813" max="13055" width="9.140625" style="18"/>
    <col min="13056" max="13056" width="6.85546875" style="18" customWidth="1"/>
    <col min="13057" max="13057" width="7" style="18" customWidth="1"/>
    <col min="13058" max="13058" width="17.85546875" style="18" bestFit="1" customWidth="1"/>
    <col min="13059" max="13059" width="12.85546875" style="18" customWidth="1"/>
    <col min="13060" max="13060" width="24" style="18" customWidth="1"/>
    <col min="13061" max="13061" width="13.42578125" style="18" bestFit="1" customWidth="1"/>
    <col min="13062" max="13062" width="13.85546875" style="18" customWidth="1"/>
    <col min="13063" max="13063" width="13.140625" style="18" customWidth="1"/>
    <col min="13064" max="13064" width="22.42578125" style="18" customWidth="1"/>
    <col min="13065" max="13065" width="18.42578125" style="18" customWidth="1"/>
    <col min="13066" max="13066" width="22" style="18" customWidth="1"/>
    <col min="13067" max="13067" width="21.28515625" style="18" customWidth="1"/>
    <col min="13068" max="13068" width="23" style="18" customWidth="1"/>
    <col min="13069" max="13311" width="9.140625" style="18"/>
    <col min="13312" max="13312" width="6.85546875" style="18" customWidth="1"/>
    <col min="13313" max="13313" width="7" style="18" customWidth="1"/>
    <col min="13314" max="13314" width="17.85546875" style="18" bestFit="1" customWidth="1"/>
    <col min="13315" max="13315" width="12.85546875" style="18" customWidth="1"/>
    <col min="13316" max="13316" width="24" style="18" customWidth="1"/>
    <col min="13317" max="13317" width="13.42578125" style="18" bestFit="1" customWidth="1"/>
    <col min="13318" max="13318" width="13.85546875" style="18" customWidth="1"/>
    <col min="13319" max="13319" width="13.140625" style="18" customWidth="1"/>
    <col min="13320" max="13320" width="22.42578125" style="18" customWidth="1"/>
    <col min="13321" max="13321" width="18.42578125" style="18" customWidth="1"/>
    <col min="13322" max="13322" width="22" style="18" customWidth="1"/>
    <col min="13323" max="13323" width="21.28515625" style="18" customWidth="1"/>
    <col min="13324" max="13324" width="23" style="18" customWidth="1"/>
    <col min="13325" max="13567" width="9.140625" style="18"/>
    <col min="13568" max="13568" width="6.85546875" style="18" customWidth="1"/>
    <col min="13569" max="13569" width="7" style="18" customWidth="1"/>
    <col min="13570" max="13570" width="17.85546875" style="18" bestFit="1" customWidth="1"/>
    <col min="13571" max="13571" width="12.85546875" style="18" customWidth="1"/>
    <col min="13572" max="13572" width="24" style="18" customWidth="1"/>
    <col min="13573" max="13573" width="13.42578125" style="18" bestFit="1" customWidth="1"/>
    <col min="13574" max="13574" width="13.85546875" style="18" customWidth="1"/>
    <col min="13575" max="13575" width="13.140625" style="18" customWidth="1"/>
    <col min="13576" max="13576" width="22.42578125" style="18" customWidth="1"/>
    <col min="13577" max="13577" width="18.42578125" style="18" customWidth="1"/>
    <col min="13578" max="13578" width="22" style="18" customWidth="1"/>
    <col min="13579" max="13579" width="21.28515625" style="18" customWidth="1"/>
    <col min="13580" max="13580" width="23" style="18" customWidth="1"/>
    <col min="13581" max="13823" width="9.140625" style="18"/>
    <col min="13824" max="13824" width="6.85546875" style="18" customWidth="1"/>
    <col min="13825" max="13825" width="7" style="18" customWidth="1"/>
    <col min="13826" max="13826" width="17.85546875" style="18" bestFit="1" customWidth="1"/>
    <col min="13827" max="13827" width="12.85546875" style="18" customWidth="1"/>
    <col min="13828" max="13828" width="24" style="18" customWidth="1"/>
    <col min="13829" max="13829" width="13.42578125" style="18" bestFit="1" customWidth="1"/>
    <col min="13830" max="13830" width="13.85546875" style="18" customWidth="1"/>
    <col min="13831" max="13831" width="13.140625" style="18" customWidth="1"/>
    <col min="13832" max="13832" width="22.42578125" style="18" customWidth="1"/>
    <col min="13833" max="13833" width="18.42578125" style="18" customWidth="1"/>
    <col min="13834" max="13834" width="22" style="18" customWidth="1"/>
    <col min="13835" max="13835" width="21.28515625" style="18" customWidth="1"/>
    <col min="13836" max="13836" width="23" style="18" customWidth="1"/>
    <col min="13837" max="14079" width="9.140625" style="18"/>
    <col min="14080" max="14080" width="6.85546875" style="18" customWidth="1"/>
    <col min="14081" max="14081" width="7" style="18" customWidth="1"/>
    <col min="14082" max="14082" width="17.85546875" style="18" bestFit="1" customWidth="1"/>
    <col min="14083" max="14083" width="12.85546875" style="18" customWidth="1"/>
    <col min="14084" max="14084" width="24" style="18" customWidth="1"/>
    <col min="14085" max="14085" width="13.42578125" style="18" bestFit="1" customWidth="1"/>
    <col min="14086" max="14086" width="13.85546875" style="18" customWidth="1"/>
    <col min="14087" max="14087" width="13.140625" style="18" customWidth="1"/>
    <col min="14088" max="14088" width="22.42578125" style="18" customWidth="1"/>
    <col min="14089" max="14089" width="18.42578125" style="18" customWidth="1"/>
    <col min="14090" max="14090" width="22" style="18" customWidth="1"/>
    <col min="14091" max="14091" width="21.28515625" style="18" customWidth="1"/>
    <col min="14092" max="14092" width="23" style="18" customWidth="1"/>
    <col min="14093" max="14335" width="9.140625" style="18"/>
    <col min="14336" max="14336" width="6.85546875" style="18" customWidth="1"/>
    <col min="14337" max="14337" width="7" style="18" customWidth="1"/>
    <col min="14338" max="14338" width="17.85546875" style="18" bestFit="1" customWidth="1"/>
    <col min="14339" max="14339" width="12.85546875" style="18" customWidth="1"/>
    <col min="14340" max="14340" width="24" style="18" customWidth="1"/>
    <col min="14341" max="14341" width="13.42578125" style="18" bestFit="1" customWidth="1"/>
    <col min="14342" max="14342" width="13.85546875" style="18" customWidth="1"/>
    <col min="14343" max="14343" width="13.140625" style="18" customWidth="1"/>
    <col min="14344" max="14344" width="22.42578125" style="18" customWidth="1"/>
    <col min="14345" max="14345" width="18.42578125" style="18" customWidth="1"/>
    <col min="14346" max="14346" width="22" style="18" customWidth="1"/>
    <col min="14347" max="14347" width="21.28515625" style="18" customWidth="1"/>
    <col min="14348" max="14348" width="23" style="18" customWidth="1"/>
    <col min="14349" max="14591" width="9.140625" style="18"/>
    <col min="14592" max="14592" width="6.85546875" style="18" customWidth="1"/>
    <col min="14593" max="14593" width="7" style="18" customWidth="1"/>
    <col min="14594" max="14594" width="17.85546875" style="18" bestFit="1" customWidth="1"/>
    <col min="14595" max="14595" width="12.85546875" style="18" customWidth="1"/>
    <col min="14596" max="14596" width="24" style="18" customWidth="1"/>
    <col min="14597" max="14597" width="13.42578125" style="18" bestFit="1" customWidth="1"/>
    <col min="14598" max="14598" width="13.85546875" style="18" customWidth="1"/>
    <col min="14599" max="14599" width="13.140625" style="18" customWidth="1"/>
    <col min="14600" max="14600" width="22.42578125" style="18" customWidth="1"/>
    <col min="14601" max="14601" width="18.42578125" style="18" customWidth="1"/>
    <col min="14602" max="14602" width="22" style="18" customWidth="1"/>
    <col min="14603" max="14603" width="21.28515625" style="18" customWidth="1"/>
    <col min="14604" max="14604" width="23" style="18" customWidth="1"/>
    <col min="14605" max="14847" width="9.140625" style="18"/>
    <col min="14848" max="14848" width="6.85546875" style="18" customWidth="1"/>
    <col min="14849" max="14849" width="7" style="18" customWidth="1"/>
    <col min="14850" max="14850" width="17.85546875" style="18" bestFit="1" customWidth="1"/>
    <col min="14851" max="14851" width="12.85546875" style="18" customWidth="1"/>
    <col min="14852" max="14852" width="24" style="18" customWidth="1"/>
    <col min="14853" max="14853" width="13.42578125" style="18" bestFit="1" customWidth="1"/>
    <col min="14854" max="14854" width="13.85546875" style="18" customWidth="1"/>
    <col min="14855" max="14855" width="13.140625" style="18" customWidth="1"/>
    <col min="14856" max="14856" width="22.42578125" style="18" customWidth="1"/>
    <col min="14857" max="14857" width="18.42578125" style="18" customWidth="1"/>
    <col min="14858" max="14858" width="22" style="18" customWidth="1"/>
    <col min="14859" max="14859" width="21.28515625" style="18" customWidth="1"/>
    <col min="14860" max="14860" width="23" style="18" customWidth="1"/>
    <col min="14861" max="15103" width="9.140625" style="18"/>
    <col min="15104" max="15104" width="6.85546875" style="18" customWidth="1"/>
    <col min="15105" max="15105" width="7" style="18" customWidth="1"/>
    <col min="15106" max="15106" width="17.85546875" style="18" bestFit="1" customWidth="1"/>
    <col min="15107" max="15107" width="12.85546875" style="18" customWidth="1"/>
    <col min="15108" max="15108" width="24" style="18" customWidth="1"/>
    <col min="15109" max="15109" width="13.42578125" style="18" bestFit="1" customWidth="1"/>
    <col min="15110" max="15110" width="13.85546875" style="18" customWidth="1"/>
    <col min="15111" max="15111" width="13.140625" style="18" customWidth="1"/>
    <col min="15112" max="15112" width="22.42578125" style="18" customWidth="1"/>
    <col min="15113" max="15113" width="18.42578125" style="18" customWidth="1"/>
    <col min="15114" max="15114" width="22" style="18" customWidth="1"/>
    <col min="15115" max="15115" width="21.28515625" style="18" customWidth="1"/>
    <col min="15116" max="15116" width="23" style="18" customWidth="1"/>
    <col min="15117" max="15359" width="9.140625" style="18"/>
    <col min="15360" max="15360" width="6.85546875" style="18" customWidth="1"/>
    <col min="15361" max="15361" width="7" style="18" customWidth="1"/>
    <col min="15362" max="15362" width="17.85546875" style="18" bestFit="1" customWidth="1"/>
    <col min="15363" max="15363" width="12.85546875" style="18" customWidth="1"/>
    <col min="15364" max="15364" width="24" style="18" customWidth="1"/>
    <col min="15365" max="15365" width="13.42578125" style="18" bestFit="1" customWidth="1"/>
    <col min="15366" max="15366" width="13.85546875" style="18" customWidth="1"/>
    <col min="15367" max="15367" width="13.140625" style="18" customWidth="1"/>
    <col min="15368" max="15368" width="22.42578125" style="18" customWidth="1"/>
    <col min="15369" max="15369" width="18.42578125" style="18" customWidth="1"/>
    <col min="15370" max="15370" width="22" style="18" customWidth="1"/>
    <col min="15371" max="15371" width="21.28515625" style="18" customWidth="1"/>
    <col min="15372" max="15372" width="23" style="18" customWidth="1"/>
    <col min="15373" max="15615" width="9.140625" style="18"/>
    <col min="15616" max="15616" width="6.85546875" style="18" customWidth="1"/>
    <col min="15617" max="15617" width="7" style="18" customWidth="1"/>
    <col min="15618" max="15618" width="17.85546875" style="18" bestFit="1" customWidth="1"/>
    <col min="15619" max="15619" width="12.85546875" style="18" customWidth="1"/>
    <col min="15620" max="15620" width="24" style="18" customWidth="1"/>
    <col min="15621" max="15621" width="13.42578125" style="18" bestFit="1" customWidth="1"/>
    <col min="15622" max="15622" width="13.85546875" style="18" customWidth="1"/>
    <col min="15623" max="15623" width="13.140625" style="18" customWidth="1"/>
    <col min="15624" max="15624" width="22.42578125" style="18" customWidth="1"/>
    <col min="15625" max="15625" width="18.42578125" style="18" customWidth="1"/>
    <col min="15626" max="15626" width="22" style="18" customWidth="1"/>
    <col min="15627" max="15627" width="21.28515625" style="18" customWidth="1"/>
    <col min="15628" max="15628" width="23" style="18" customWidth="1"/>
    <col min="15629" max="15871" width="9.140625" style="18"/>
    <col min="15872" max="15872" width="6.85546875" style="18" customWidth="1"/>
    <col min="15873" max="15873" width="7" style="18" customWidth="1"/>
    <col min="15874" max="15874" width="17.85546875" style="18" bestFit="1" customWidth="1"/>
    <col min="15875" max="15875" width="12.85546875" style="18" customWidth="1"/>
    <col min="15876" max="15876" width="24" style="18" customWidth="1"/>
    <col min="15877" max="15877" width="13.42578125" style="18" bestFit="1" customWidth="1"/>
    <col min="15878" max="15878" width="13.85546875" style="18" customWidth="1"/>
    <col min="15879" max="15879" width="13.140625" style="18" customWidth="1"/>
    <col min="15880" max="15880" width="22.42578125" style="18" customWidth="1"/>
    <col min="15881" max="15881" width="18.42578125" style="18" customWidth="1"/>
    <col min="15882" max="15882" width="22" style="18" customWidth="1"/>
    <col min="15883" max="15883" width="21.28515625" style="18" customWidth="1"/>
    <col min="15884" max="15884" width="23" style="18" customWidth="1"/>
    <col min="15885" max="16127" width="9.140625" style="18"/>
    <col min="16128" max="16128" width="6.85546875" style="18" customWidth="1"/>
    <col min="16129" max="16129" width="7" style="18" customWidth="1"/>
    <col min="16130" max="16130" width="17.85546875" style="18" bestFit="1" customWidth="1"/>
    <col min="16131" max="16131" width="12.85546875" style="18" customWidth="1"/>
    <col min="16132" max="16132" width="24" style="18" customWidth="1"/>
    <col min="16133" max="16133" width="13.42578125" style="18" bestFit="1" customWidth="1"/>
    <col min="16134" max="16134" width="13.85546875" style="18" customWidth="1"/>
    <col min="16135" max="16135" width="13.140625" style="18" customWidth="1"/>
    <col min="16136" max="16136" width="22.42578125" style="18" customWidth="1"/>
    <col min="16137" max="16137" width="18.42578125" style="18" customWidth="1"/>
    <col min="16138" max="16138" width="22" style="18" customWidth="1"/>
    <col min="16139" max="16139" width="21.28515625" style="18" customWidth="1"/>
    <col min="16140" max="16140" width="23" style="18" customWidth="1"/>
    <col min="16141" max="16384" width="9.140625" style="18"/>
  </cols>
  <sheetData>
    <row r="3" spans="2:17">
      <c r="C3" s="101"/>
      <c r="D3" s="101"/>
      <c r="E3" s="101"/>
      <c r="F3" s="101"/>
      <c r="G3" s="101"/>
      <c r="H3" s="742" t="s">
        <v>906</v>
      </c>
      <c r="I3" s="101"/>
      <c r="J3" s="101"/>
      <c r="K3" s="101"/>
      <c r="L3" s="101"/>
      <c r="M3" s="101"/>
    </row>
    <row r="4" spans="2:17">
      <c r="C4" s="101"/>
      <c r="D4" s="101"/>
      <c r="E4" s="101"/>
      <c r="F4" s="101"/>
      <c r="G4" s="101"/>
      <c r="H4" s="373" t="s">
        <v>722</v>
      </c>
      <c r="I4" s="101"/>
      <c r="J4" s="101"/>
      <c r="K4" s="101"/>
      <c r="L4" s="101"/>
      <c r="M4" s="101"/>
    </row>
    <row r="5" spans="2:17">
      <c r="C5" s="101"/>
      <c r="D5" s="101"/>
      <c r="E5" s="101"/>
      <c r="F5" s="101"/>
      <c r="G5" s="101"/>
      <c r="H5" s="321" t="s">
        <v>585</v>
      </c>
      <c r="I5" s="101"/>
      <c r="J5" s="101"/>
      <c r="K5" s="101"/>
      <c r="L5" s="101"/>
      <c r="M5" s="101"/>
    </row>
    <row r="6" spans="2:17">
      <c r="B6" s="182"/>
      <c r="C6" s="156"/>
      <c r="D6" s="156"/>
      <c r="E6" s="20"/>
      <c r="F6" s="21"/>
      <c r="G6" s="20"/>
      <c r="H6" s="20"/>
      <c r="I6" s="20"/>
      <c r="J6" s="37"/>
      <c r="K6" s="37"/>
      <c r="L6" s="37"/>
    </row>
    <row r="7" spans="2:17">
      <c r="B7" s="182"/>
      <c r="C7" s="156"/>
      <c r="D7" s="156"/>
      <c r="E7" s="20"/>
      <c r="F7" s="21"/>
      <c r="G7" s="20"/>
      <c r="H7" s="20"/>
      <c r="I7" s="20"/>
      <c r="J7" s="37"/>
      <c r="K7" s="37"/>
      <c r="L7" s="37"/>
    </row>
    <row r="8" spans="2:17">
      <c r="B8" s="335" t="s">
        <v>554</v>
      </c>
      <c r="C8" s="336"/>
      <c r="D8" s="156"/>
      <c r="E8" s="20"/>
      <c r="F8" s="21"/>
      <c r="G8" s="20"/>
      <c r="H8" s="20"/>
      <c r="I8" s="20"/>
      <c r="J8" s="37"/>
      <c r="K8" s="37"/>
      <c r="L8" s="37"/>
    </row>
    <row r="10" spans="2:17">
      <c r="B10" s="182" t="s">
        <v>728</v>
      </c>
      <c r="C10" s="156"/>
      <c r="D10" s="156"/>
      <c r="E10" s="20"/>
      <c r="F10" s="21"/>
      <c r="G10" s="20"/>
      <c r="H10" s="20"/>
      <c r="I10" s="20"/>
      <c r="J10" s="37"/>
      <c r="K10" s="37"/>
      <c r="L10" s="37"/>
    </row>
    <row r="11" spans="2:17">
      <c r="B11" s="182"/>
      <c r="C11" s="156"/>
      <c r="D11" s="156"/>
      <c r="E11" s="20"/>
      <c r="F11" s="21"/>
      <c r="G11" s="20"/>
      <c r="H11" s="20"/>
      <c r="I11" s="20"/>
      <c r="J11" s="37"/>
      <c r="K11" s="37"/>
      <c r="L11" s="37"/>
    </row>
    <row r="12" spans="2:17" ht="28.5">
      <c r="B12" s="289" t="s">
        <v>157</v>
      </c>
      <c r="C12" s="289" t="s">
        <v>49</v>
      </c>
      <c r="D12" s="289" t="s">
        <v>556</v>
      </c>
      <c r="E12" s="314" t="s">
        <v>118</v>
      </c>
      <c r="F12" s="314" t="s">
        <v>119</v>
      </c>
      <c r="G12" s="314" t="s">
        <v>120</v>
      </c>
      <c r="H12" s="314" t="s">
        <v>121</v>
      </c>
      <c r="I12" s="314" t="s">
        <v>122</v>
      </c>
      <c r="J12" s="314" t="s">
        <v>123</v>
      </c>
      <c r="K12" s="314" t="s">
        <v>124</v>
      </c>
      <c r="L12" s="314" t="s">
        <v>125</v>
      </c>
      <c r="M12" s="314" t="s">
        <v>126</v>
      </c>
      <c r="N12" s="314" t="s">
        <v>127</v>
      </c>
      <c r="O12" s="314" t="s">
        <v>128</v>
      </c>
      <c r="P12" s="314" t="s">
        <v>129</v>
      </c>
      <c r="Q12" s="314" t="s">
        <v>115</v>
      </c>
    </row>
    <row r="13" spans="2:17" s="331" customFormat="1">
      <c r="B13" s="162"/>
      <c r="C13" s="162"/>
      <c r="D13" s="162"/>
      <c r="E13" s="330"/>
      <c r="F13" s="330"/>
      <c r="G13" s="330"/>
      <c r="H13" s="330"/>
      <c r="I13" s="330"/>
      <c r="J13" s="330"/>
      <c r="K13" s="330"/>
      <c r="L13" s="330"/>
      <c r="M13" s="330"/>
      <c r="N13" s="330"/>
      <c r="O13" s="330"/>
      <c r="P13" s="330"/>
      <c r="Q13" s="330"/>
    </row>
    <row r="14" spans="2:17" s="331" customFormat="1">
      <c r="B14" s="162" t="s">
        <v>425</v>
      </c>
      <c r="C14" s="162" t="s">
        <v>549</v>
      </c>
      <c r="D14" s="162"/>
      <c r="E14" s="330"/>
      <c r="F14" s="330"/>
      <c r="G14" s="330"/>
      <c r="H14" s="330"/>
      <c r="I14" s="330"/>
      <c r="J14" s="330"/>
      <c r="K14" s="330"/>
      <c r="L14" s="330"/>
      <c r="M14" s="330"/>
      <c r="N14" s="330"/>
      <c r="O14" s="330"/>
      <c r="P14" s="330"/>
      <c r="Q14" s="330"/>
    </row>
    <row r="15" spans="2:17">
      <c r="B15" s="92">
        <v>1</v>
      </c>
      <c r="C15" s="284" t="s">
        <v>496</v>
      </c>
      <c r="D15" s="333"/>
      <c r="E15" s="758">
        <f>'F1'!C66</f>
        <v>5.1851115999999999</v>
      </c>
      <c r="F15" s="758">
        <f>'F1'!D66</f>
        <v>7.2114542600000009</v>
      </c>
      <c r="G15" s="758">
        <f>'F1'!E66</f>
        <v>7.036109520000001</v>
      </c>
      <c r="H15" s="758">
        <f>'F1'!F66</f>
        <v>7.3220200000000011</v>
      </c>
      <c r="I15" s="758">
        <f>'F1'!G66</f>
        <v>7.0385308599999998</v>
      </c>
      <c r="J15" s="758">
        <f>'F1'!H66</f>
        <v>7.0450716800000004</v>
      </c>
      <c r="K15" s="758">
        <f>'F1'!I66</f>
        <v>7.5147788500000008</v>
      </c>
      <c r="L15" s="758">
        <f>'F1'!J66</f>
        <v>6.8478620599999989</v>
      </c>
      <c r="M15" s="758">
        <f>'F1'!K66</f>
        <v>6.7416690500000005</v>
      </c>
      <c r="N15" s="758">
        <f>'F1'!L66</f>
        <v>6.2939408000000006</v>
      </c>
      <c r="O15" s="758">
        <f>'F1'!M66</f>
        <v>6.3952530999999997</v>
      </c>
      <c r="P15" s="758">
        <f>'F1'!N66</f>
        <v>7.241261999999999</v>
      </c>
      <c r="Q15" s="816">
        <f>SUM(E15:P15)</f>
        <v>81.873063779999995</v>
      </c>
    </row>
    <row r="16" spans="2:17">
      <c r="B16" s="92">
        <v>2</v>
      </c>
      <c r="C16" s="284" t="s">
        <v>807</v>
      </c>
      <c r="D16" s="333"/>
      <c r="E16" s="758">
        <f>E17-E15</f>
        <v>-0.12436160000000029</v>
      </c>
      <c r="F16" s="758">
        <f t="shared" ref="F16:P16" si="0">F17-F15</f>
        <v>1.4995739999999813E-2</v>
      </c>
      <c r="G16" s="758">
        <f t="shared" si="0"/>
        <v>-3.4909520000002914E-2</v>
      </c>
      <c r="H16" s="758">
        <f t="shared" si="0"/>
        <v>-2.1519999999997097E-2</v>
      </c>
      <c r="I16" s="758">
        <f t="shared" si="0"/>
        <v>-1.9680860000003797E-2</v>
      </c>
      <c r="J16" s="758">
        <f t="shared" si="0"/>
        <v>-7.3821680000000001E-2</v>
      </c>
      <c r="K16" s="758">
        <f t="shared" si="0"/>
        <v>8.9061500000022775E-3</v>
      </c>
      <c r="L16" s="758">
        <f t="shared" si="0"/>
        <v>1.1537939999999303E-2</v>
      </c>
      <c r="M16" s="758">
        <f t="shared" si="0"/>
        <v>2.0330949999999071E-2</v>
      </c>
      <c r="N16" s="758">
        <f t="shared" si="0"/>
        <v>4.310919999999907E-2</v>
      </c>
      <c r="O16" s="758">
        <f t="shared" si="0"/>
        <v>4.2546899999997834E-2</v>
      </c>
      <c r="P16" s="758">
        <f t="shared" si="0"/>
        <v>6.8837999999997734E-2</v>
      </c>
      <c r="Q16" s="816">
        <f t="shared" ref="Q16:Q17" si="1">SUM(E16:P16)</f>
        <v>-6.4028780000009E-2</v>
      </c>
    </row>
    <row r="17" spans="2:20">
      <c r="B17" s="92">
        <v>3</v>
      </c>
      <c r="C17" s="284" t="s">
        <v>800</v>
      </c>
      <c r="D17" s="333"/>
      <c r="E17" s="758">
        <v>5.0607499999999996</v>
      </c>
      <c r="F17" s="758">
        <v>7.2264500000000007</v>
      </c>
      <c r="G17" s="758">
        <v>7.0011999999999981</v>
      </c>
      <c r="H17" s="758">
        <v>7.300500000000004</v>
      </c>
      <c r="I17" s="758">
        <v>7.018849999999996</v>
      </c>
      <c r="J17" s="758">
        <v>6.9712500000000004</v>
      </c>
      <c r="K17" s="758">
        <v>7.5236850000000031</v>
      </c>
      <c r="L17" s="758">
        <v>6.8593999999999982</v>
      </c>
      <c r="M17" s="758">
        <v>6.7619999999999996</v>
      </c>
      <c r="N17" s="758">
        <v>6.3370499999999996</v>
      </c>
      <c r="O17" s="758">
        <v>6.4377999999999975</v>
      </c>
      <c r="P17" s="758">
        <v>7.3100999999999967</v>
      </c>
      <c r="Q17" s="816">
        <f t="shared" si="1"/>
        <v>81.80903499999998</v>
      </c>
    </row>
    <row r="18" spans="2:20">
      <c r="B18" s="92">
        <v>4</v>
      </c>
      <c r="C18" s="284" t="s">
        <v>801</v>
      </c>
      <c r="D18" s="333"/>
      <c r="E18" s="817">
        <f>Backup!D77</f>
        <v>4.1197329473457563E-2</v>
      </c>
      <c r="F18" s="817">
        <f>Backup!E77</f>
        <v>3.8781823258367293E-2</v>
      </c>
      <c r="G18" s="817">
        <f>Backup!F77</f>
        <v>4.0408499778803945E-2</v>
      </c>
      <c r="H18" s="817">
        <f>Backup!G77</f>
        <v>3.776545951799707E-2</v>
      </c>
      <c r="I18" s="817">
        <f>Backup!H77</f>
        <v>4.0603131537770225E-2</v>
      </c>
      <c r="J18" s="817">
        <f>Backup!I77</f>
        <v>3.9331088688376772E-2</v>
      </c>
      <c r="K18" s="817">
        <f>Backup!J77</f>
        <v>4.0597801545227845E-2</v>
      </c>
      <c r="L18" s="817">
        <f>Backup!K77</f>
        <v>3.7129650614105981E-2</v>
      </c>
      <c r="M18" s="817">
        <f>Backup!L77</f>
        <v>3.5904087379469256E-2</v>
      </c>
      <c r="N18" s="817">
        <f>Backup!M77</f>
        <v>3.8686038765345973E-2</v>
      </c>
      <c r="O18" s="817">
        <f>Backup!N77</f>
        <v>3.7606415460325483E-2</v>
      </c>
      <c r="P18" s="817">
        <f>Backup!O77</f>
        <v>4.1608419699525959E-2</v>
      </c>
      <c r="Q18" s="818">
        <f>(Q19-Q17)/Q19</f>
        <v>3.924197189760683E-2</v>
      </c>
    </row>
    <row r="19" spans="2:20">
      <c r="B19" s="92">
        <v>5</v>
      </c>
      <c r="C19" s="284" t="s">
        <v>802</v>
      </c>
      <c r="D19" s="333"/>
      <c r="E19" s="758">
        <f>E17/(1-E18)</f>
        <v>5.2781976475105195</v>
      </c>
      <c r="F19" s="758">
        <f>F17/(1-F18)+0.01</f>
        <v>7.5280122212175034</v>
      </c>
      <c r="G19" s="758">
        <f t="shared" ref="G19:P19" si="2">G17/(1-G18)</f>
        <v>7.2960212740381154</v>
      </c>
      <c r="H19" s="758">
        <f t="shared" si="2"/>
        <v>7.5870275830495899</v>
      </c>
      <c r="I19" s="758">
        <f t="shared" si="2"/>
        <v>7.3158983844195431</v>
      </c>
      <c r="J19" s="758">
        <f t="shared" si="2"/>
        <v>7.2566624337639833</v>
      </c>
      <c r="K19" s="758">
        <f t="shared" si="2"/>
        <v>7.8420552007466373</v>
      </c>
      <c r="L19" s="758">
        <f t="shared" si="2"/>
        <v>7.1239082233395523</v>
      </c>
      <c r="M19" s="758">
        <f t="shared" si="2"/>
        <v>7.0138249851304275</v>
      </c>
      <c r="N19" s="758">
        <f t="shared" si="2"/>
        <v>6.5920711188476577</v>
      </c>
      <c r="O19" s="758">
        <f t="shared" si="2"/>
        <v>6.6893629627417788</v>
      </c>
      <c r="P19" s="758">
        <f t="shared" si="2"/>
        <v>7.6274668415890519</v>
      </c>
      <c r="Q19" s="816">
        <f>SUM(E19:P19)</f>
        <v>85.150508876394369</v>
      </c>
    </row>
    <row r="20" spans="2:20">
      <c r="B20" s="92"/>
      <c r="C20" s="284"/>
      <c r="D20" s="284"/>
      <c r="E20" s="287"/>
      <c r="F20" s="29"/>
      <c r="G20" s="29"/>
      <c r="H20" s="29"/>
      <c r="I20" s="29"/>
      <c r="J20" s="29"/>
      <c r="K20" s="29"/>
      <c r="L20" s="29"/>
      <c r="M20" s="29"/>
      <c r="N20" s="29"/>
      <c r="O20" s="29"/>
      <c r="P20" s="29"/>
      <c r="Q20" s="29"/>
    </row>
    <row r="21" spans="2:20">
      <c r="B21" s="162" t="s">
        <v>550</v>
      </c>
      <c r="C21" s="288" t="s">
        <v>558</v>
      </c>
      <c r="D21" s="288"/>
      <c r="E21" s="287"/>
      <c r="F21" s="29"/>
      <c r="G21" s="29"/>
      <c r="H21" s="29"/>
      <c r="I21" s="29"/>
      <c r="J21" s="29"/>
      <c r="K21" s="29"/>
      <c r="L21" s="29"/>
      <c r="M21" s="29"/>
      <c r="N21" s="29"/>
      <c r="O21" s="29"/>
      <c r="P21" s="29"/>
      <c r="Q21" s="29"/>
    </row>
    <row r="22" spans="2:20">
      <c r="B22" s="93">
        <v>3</v>
      </c>
      <c r="C22" s="288" t="s">
        <v>432</v>
      </c>
      <c r="D22" s="288"/>
      <c r="E22" s="287"/>
      <c r="F22" s="29"/>
      <c r="G22" s="29"/>
      <c r="H22" s="29"/>
      <c r="I22" s="29"/>
      <c r="J22" s="29"/>
      <c r="K22" s="29"/>
      <c r="L22" s="29"/>
      <c r="M22" s="29"/>
      <c r="N22" s="29"/>
      <c r="O22" s="29"/>
      <c r="P22" s="29"/>
      <c r="Q22" s="29"/>
    </row>
    <row r="23" spans="2:20">
      <c r="B23" s="92">
        <v>3.1</v>
      </c>
      <c r="C23" s="106" t="s">
        <v>808</v>
      </c>
      <c r="D23" s="106"/>
      <c r="E23" s="287"/>
      <c r="F23" s="29"/>
      <c r="G23" s="29"/>
      <c r="H23" s="29"/>
      <c r="I23" s="29"/>
      <c r="J23" s="29"/>
      <c r="K23" s="29"/>
      <c r="L23" s="29"/>
      <c r="M23" s="29"/>
      <c r="N23" s="29"/>
      <c r="O23" s="29"/>
      <c r="P23" s="29"/>
      <c r="Q23" s="29"/>
    </row>
    <row r="24" spans="2:20">
      <c r="B24" s="92"/>
      <c r="C24" s="106" t="s">
        <v>809</v>
      </c>
      <c r="D24" s="106"/>
      <c r="E24" s="758">
        <v>5.3007999999999997</v>
      </c>
      <c r="F24" s="819">
        <v>7.2186000000000003</v>
      </c>
      <c r="G24" s="819">
        <v>7.1267999999999994</v>
      </c>
      <c r="H24" s="466">
        <v>0</v>
      </c>
      <c r="I24" s="466">
        <v>0</v>
      </c>
      <c r="J24" s="466">
        <v>0</v>
      </c>
      <c r="K24" s="466">
        <v>0</v>
      </c>
      <c r="L24" s="466">
        <v>0</v>
      </c>
      <c r="M24" s="466">
        <v>0</v>
      </c>
      <c r="N24" s="466">
        <v>0</v>
      </c>
      <c r="O24" s="466">
        <v>0</v>
      </c>
      <c r="P24" s="466">
        <v>0</v>
      </c>
      <c r="Q24" s="820">
        <f>SUM(E24:P24)</f>
        <v>19.6462</v>
      </c>
    </row>
    <row r="25" spans="2:20">
      <c r="B25" s="92"/>
      <c r="C25" s="106" t="s">
        <v>810</v>
      </c>
      <c r="D25" s="106"/>
      <c r="E25" s="817">
        <v>2.1713997423979857E-2</v>
      </c>
      <c r="F25" s="817">
        <v>2.1713997423979857E-2</v>
      </c>
      <c r="G25" s="817">
        <v>2.1713997423979857E-2</v>
      </c>
      <c r="H25" s="821">
        <v>0</v>
      </c>
      <c r="I25" s="821">
        <v>0</v>
      </c>
      <c r="J25" s="821">
        <v>0</v>
      </c>
      <c r="K25" s="821">
        <v>0</v>
      </c>
      <c r="L25" s="821">
        <v>0</v>
      </c>
      <c r="M25" s="821">
        <v>0</v>
      </c>
      <c r="N25" s="821">
        <v>0</v>
      </c>
      <c r="O25" s="821">
        <v>0</v>
      </c>
      <c r="P25" s="821">
        <v>0</v>
      </c>
      <c r="Q25" s="820"/>
    </row>
    <row r="26" spans="2:20">
      <c r="B26" s="92"/>
      <c r="C26" s="288" t="s">
        <v>811</v>
      </c>
      <c r="D26" s="288"/>
      <c r="E26" s="816">
        <f>E24*(1-E25)</f>
        <v>5.1856984424549672</v>
      </c>
      <c r="F26" s="816">
        <f t="shared" ref="F26:P26" si="3">F24*(1-F25)</f>
        <v>7.0618553381952598</v>
      </c>
      <c r="G26" s="816">
        <f t="shared" si="3"/>
        <v>6.9720486831587802</v>
      </c>
      <c r="H26" s="816">
        <f t="shared" si="3"/>
        <v>0</v>
      </c>
      <c r="I26" s="816">
        <f t="shared" si="3"/>
        <v>0</v>
      </c>
      <c r="J26" s="816">
        <f t="shared" si="3"/>
        <v>0</v>
      </c>
      <c r="K26" s="816">
        <f t="shared" si="3"/>
        <v>0</v>
      </c>
      <c r="L26" s="816">
        <f t="shared" si="3"/>
        <v>0</v>
      </c>
      <c r="M26" s="816">
        <f t="shared" si="3"/>
        <v>0</v>
      </c>
      <c r="N26" s="816">
        <f t="shared" si="3"/>
        <v>0</v>
      </c>
      <c r="O26" s="816">
        <f t="shared" si="3"/>
        <v>0</v>
      </c>
      <c r="P26" s="816">
        <f t="shared" si="3"/>
        <v>0</v>
      </c>
      <c r="Q26" s="820">
        <f>SUM(E26:P26)</f>
        <v>19.219602463809007</v>
      </c>
    </row>
    <row r="27" spans="2:20">
      <c r="B27" s="92">
        <v>3.2</v>
      </c>
      <c r="C27" s="288" t="s">
        <v>798</v>
      </c>
      <c r="D27" s="822"/>
      <c r="E27" s="816">
        <v>0</v>
      </c>
      <c r="F27" s="816">
        <v>0</v>
      </c>
      <c r="G27" s="816">
        <v>0</v>
      </c>
      <c r="H27" s="820">
        <v>7.2252000000000001</v>
      </c>
      <c r="I27" s="820">
        <v>7.0574699999999995</v>
      </c>
      <c r="J27" s="820">
        <v>7.4416000000000002</v>
      </c>
      <c r="K27" s="820">
        <v>7.4163199999999998</v>
      </c>
      <c r="L27" s="820">
        <v>7.1416000000000004</v>
      </c>
      <c r="M27" s="820">
        <v>7.61632</v>
      </c>
      <c r="N27" s="816">
        <v>0</v>
      </c>
      <c r="O27" s="816">
        <v>0</v>
      </c>
      <c r="P27" s="816">
        <v>0</v>
      </c>
      <c r="Q27" s="820">
        <f>SUM(E27:P27)</f>
        <v>43.898510000000002</v>
      </c>
      <c r="R27" s="458"/>
      <c r="T27" s="458"/>
    </row>
    <row r="28" spans="2:20">
      <c r="B28" s="92">
        <v>3.3</v>
      </c>
      <c r="C28" s="106" t="s">
        <v>1009</v>
      </c>
      <c r="D28" s="106"/>
      <c r="E28" s="287"/>
      <c r="F28" s="29"/>
      <c r="G28" s="29"/>
      <c r="H28" s="92"/>
      <c r="I28" s="92"/>
      <c r="J28" s="92"/>
      <c r="K28" s="92"/>
      <c r="L28" s="92"/>
      <c r="M28" s="92"/>
      <c r="N28" s="92"/>
      <c r="O28" s="92"/>
      <c r="P28" s="92"/>
      <c r="Q28" s="93"/>
    </row>
    <row r="29" spans="2:20">
      <c r="B29" s="92"/>
      <c r="C29" s="106" t="s">
        <v>809</v>
      </c>
      <c r="D29" s="106"/>
      <c r="E29" s="758">
        <v>0</v>
      </c>
      <c r="F29" s="758">
        <v>0</v>
      </c>
      <c r="G29" s="758">
        <v>0</v>
      </c>
      <c r="H29" s="758">
        <v>0</v>
      </c>
      <c r="I29" s="758">
        <v>0</v>
      </c>
      <c r="J29" s="758">
        <v>0</v>
      </c>
      <c r="K29" s="758">
        <v>0</v>
      </c>
      <c r="L29" s="758">
        <v>0</v>
      </c>
      <c r="M29" s="758">
        <v>0</v>
      </c>
      <c r="N29" s="819">
        <v>7.1457186666113017</v>
      </c>
      <c r="O29" s="819">
        <v>0</v>
      </c>
      <c r="P29" s="819">
        <v>0</v>
      </c>
      <c r="Q29" s="820">
        <f>SUM(E29:P29)</f>
        <v>7.1457186666113017</v>
      </c>
    </row>
    <row r="30" spans="2:20">
      <c r="B30" s="92"/>
      <c r="C30" s="106" t="s">
        <v>810</v>
      </c>
      <c r="D30" s="106"/>
      <c r="E30" s="819">
        <v>0</v>
      </c>
      <c r="F30" s="819">
        <v>0</v>
      </c>
      <c r="G30" s="819">
        <v>0</v>
      </c>
      <c r="H30" s="819">
        <v>0</v>
      </c>
      <c r="I30" s="819">
        <v>0</v>
      </c>
      <c r="J30" s="819">
        <v>0</v>
      </c>
      <c r="K30" s="819">
        <v>0</v>
      </c>
      <c r="L30" s="819">
        <v>0</v>
      </c>
      <c r="M30" s="819">
        <v>0</v>
      </c>
      <c r="N30" s="823">
        <v>2.0370052810983409E-2</v>
      </c>
      <c r="O30" s="819">
        <v>0</v>
      </c>
      <c r="P30" s="819">
        <v>0</v>
      </c>
      <c r="Q30" s="820"/>
      <c r="R30" s="458"/>
    </row>
    <row r="31" spans="2:20">
      <c r="B31" s="92"/>
      <c r="C31" s="288" t="s">
        <v>811</v>
      </c>
      <c r="D31" s="288"/>
      <c r="E31" s="816">
        <f t="shared" ref="E31:P31" si="4">E29*(1-E30)</f>
        <v>0</v>
      </c>
      <c r="F31" s="816">
        <f t="shared" si="4"/>
        <v>0</v>
      </c>
      <c r="G31" s="816">
        <f t="shared" si="4"/>
        <v>0</v>
      </c>
      <c r="H31" s="816">
        <f t="shared" si="4"/>
        <v>0</v>
      </c>
      <c r="I31" s="816">
        <f t="shared" si="4"/>
        <v>0</v>
      </c>
      <c r="J31" s="816">
        <f t="shared" si="4"/>
        <v>0</v>
      </c>
      <c r="K31" s="816">
        <f t="shared" si="4"/>
        <v>0</v>
      </c>
      <c r="L31" s="816">
        <f t="shared" si="4"/>
        <v>0</v>
      </c>
      <c r="M31" s="816">
        <f t="shared" si="4"/>
        <v>0</v>
      </c>
      <c r="N31" s="816">
        <f t="shared" ref="N31" si="5">N29*(1-N30)</f>
        <v>7.0001600000000002</v>
      </c>
      <c r="O31" s="816">
        <f t="shared" si="4"/>
        <v>0</v>
      </c>
      <c r="P31" s="816">
        <f t="shared" si="4"/>
        <v>0</v>
      </c>
      <c r="Q31" s="820">
        <f>SUM(E31:P31)</f>
        <v>7.0001600000000002</v>
      </c>
    </row>
    <row r="32" spans="2:20">
      <c r="B32" s="92">
        <v>3.4</v>
      </c>
      <c r="C32" s="106" t="s">
        <v>799</v>
      </c>
      <c r="D32" s="106"/>
      <c r="E32" s="287"/>
      <c r="F32" s="29"/>
      <c r="G32" s="29"/>
      <c r="H32" s="92"/>
      <c r="I32" s="92"/>
      <c r="J32" s="92"/>
      <c r="K32" s="92"/>
      <c r="L32" s="92"/>
      <c r="M32" s="92"/>
      <c r="N32" s="92"/>
      <c r="O32" s="92"/>
      <c r="P32" s="92"/>
      <c r="Q32" s="93"/>
    </row>
    <row r="33" spans="2:17">
      <c r="B33" s="92"/>
      <c r="C33" s="106" t="s">
        <v>809</v>
      </c>
      <c r="D33" s="106"/>
      <c r="E33" s="819">
        <v>0</v>
      </c>
      <c r="F33" s="819">
        <v>0</v>
      </c>
      <c r="G33" s="819">
        <v>0</v>
      </c>
      <c r="H33" s="819">
        <v>0</v>
      </c>
      <c r="I33" s="819">
        <v>0</v>
      </c>
      <c r="J33" s="819">
        <v>0</v>
      </c>
      <c r="K33" s="819">
        <v>0</v>
      </c>
      <c r="L33" s="819">
        <v>0</v>
      </c>
      <c r="M33" s="819">
        <v>0</v>
      </c>
      <c r="N33" s="819">
        <v>0</v>
      </c>
      <c r="O33" s="819">
        <v>7.3219200000000004</v>
      </c>
      <c r="P33" s="819">
        <v>7.6579199999999998</v>
      </c>
      <c r="Q33" s="819">
        <f>SUM(E33:P33)</f>
        <v>14.979839999999999</v>
      </c>
    </row>
    <row r="34" spans="2:17">
      <c r="B34" s="92"/>
      <c r="C34" s="106" t="s">
        <v>810</v>
      </c>
      <c r="D34" s="106"/>
      <c r="E34" s="823">
        <v>0</v>
      </c>
      <c r="F34" s="823">
        <v>0</v>
      </c>
      <c r="G34" s="823">
        <v>0</v>
      </c>
      <c r="H34" s="823">
        <v>0</v>
      </c>
      <c r="I34" s="823">
        <v>0</v>
      </c>
      <c r="J34" s="823">
        <v>0</v>
      </c>
      <c r="K34" s="823">
        <v>0</v>
      </c>
      <c r="L34" s="823">
        <v>0</v>
      </c>
      <c r="M34" s="823">
        <v>0</v>
      </c>
      <c r="N34" s="823">
        <v>0</v>
      </c>
      <c r="O34" s="823">
        <v>2.0370052810983409E-2</v>
      </c>
      <c r="P34" s="823">
        <v>2.0370052810983409E-2</v>
      </c>
      <c r="Q34" s="819"/>
    </row>
    <row r="35" spans="2:17">
      <c r="B35" s="92"/>
      <c r="C35" s="288" t="s">
        <v>811</v>
      </c>
      <c r="D35" s="288"/>
      <c r="E35" s="816">
        <f t="shared" ref="E35:N35" si="6">E33*(1-E34)</f>
        <v>0</v>
      </c>
      <c r="F35" s="816">
        <f t="shared" si="6"/>
        <v>0</v>
      </c>
      <c r="G35" s="816">
        <f t="shared" si="6"/>
        <v>0</v>
      </c>
      <c r="H35" s="816">
        <f t="shared" si="6"/>
        <v>0</v>
      </c>
      <c r="I35" s="816">
        <f t="shared" si="6"/>
        <v>0</v>
      </c>
      <c r="J35" s="816">
        <f t="shared" si="6"/>
        <v>0</v>
      </c>
      <c r="K35" s="816">
        <f t="shared" si="6"/>
        <v>0</v>
      </c>
      <c r="L35" s="816">
        <f t="shared" si="6"/>
        <v>0</v>
      </c>
      <c r="M35" s="816">
        <f t="shared" si="6"/>
        <v>0</v>
      </c>
      <c r="N35" s="816">
        <f t="shared" si="6"/>
        <v>0</v>
      </c>
      <c r="O35" s="816">
        <f>O33*(1-O34)</f>
        <v>7.1727721029222051</v>
      </c>
      <c r="P35" s="816">
        <f>P33*(1-P34)</f>
        <v>7.5019277651777143</v>
      </c>
      <c r="Q35" s="820">
        <f>SUM(E35:P35)</f>
        <v>14.674699868099919</v>
      </c>
    </row>
    <row r="36" spans="2:17">
      <c r="B36" s="92">
        <v>3.5</v>
      </c>
      <c r="C36" s="288" t="s">
        <v>812</v>
      </c>
      <c r="D36" s="288"/>
      <c r="E36" s="816">
        <v>9.2499205055552203E-2</v>
      </c>
      <c r="F36" s="816">
        <v>0.46615688302224401</v>
      </c>
      <c r="G36" s="816">
        <v>0.32397259087933516</v>
      </c>
      <c r="H36" s="816">
        <v>0.36182758304958984</v>
      </c>
      <c r="I36" s="816">
        <v>0.25842838441954363</v>
      </c>
      <c r="J36" s="816">
        <v>-0.18493756623601687</v>
      </c>
      <c r="K36" s="816">
        <v>0.42573520074663751</v>
      </c>
      <c r="L36" s="816">
        <v>-1.7691776660448078E-2</v>
      </c>
      <c r="M36" s="816">
        <v>-0.60249501486957246</v>
      </c>
      <c r="N36" s="816">
        <v>-0.40808888115234243</v>
      </c>
      <c r="O36" s="816">
        <v>-0.48340914018042636</v>
      </c>
      <c r="P36" s="816">
        <v>0.12553907641133755</v>
      </c>
      <c r="Q36" s="820">
        <f>SUM(E36:P36)</f>
        <v>0.3575365444854337</v>
      </c>
    </row>
    <row r="37" spans="2:17">
      <c r="B37" s="93">
        <v>4</v>
      </c>
      <c r="C37" s="32" t="s">
        <v>551</v>
      </c>
      <c r="D37" s="32"/>
      <c r="E37" s="816">
        <f>E35+E31+E26+E27+E36</f>
        <v>5.2781976475105195</v>
      </c>
      <c r="F37" s="816">
        <f t="shared" ref="F37:P37" si="7">F35+F31+F26+F27+F36</f>
        <v>7.5280122212175034</v>
      </c>
      <c r="G37" s="816">
        <f t="shared" si="7"/>
        <v>7.2960212740381154</v>
      </c>
      <c r="H37" s="816">
        <f t="shared" si="7"/>
        <v>7.5870275830495899</v>
      </c>
      <c r="I37" s="816">
        <f t="shared" si="7"/>
        <v>7.3158983844195431</v>
      </c>
      <c r="J37" s="816">
        <f t="shared" si="7"/>
        <v>7.2566624337639833</v>
      </c>
      <c r="K37" s="816">
        <f t="shared" si="7"/>
        <v>7.8420552007466373</v>
      </c>
      <c r="L37" s="816">
        <f t="shared" si="7"/>
        <v>7.1239082233395523</v>
      </c>
      <c r="M37" s="816">
        <f t="shared" si="7"/>
        <v>7.0138249851304275</v>
      </c>
      <c r="N37" s="816">
        <f t="shared" si="7"/>
        <v>6.5920711188476577</v>
      </c>
      <c r="O37" s="816">
        <f t="shared" si="7"/>
        <v>6.6893629627417788</v>
      </c>
      <c r="P37" s="816">
        <f t="shared" si="7"/>
        <v>7.6274668415890519</v>
      </c>
      <c r="Q37" s="820">
        <f>SUM(E37:P37)</f>
        <v>85.150508876394369</v>
      </c>
    </row>
    <row r="38" spans="2:17">
      <c r="B38" s="93">
        <v>5</v>
      </c>
      <c r="C38" s="32" t="s">
        <v>553</v>
      </c>
      <c r="D38" s="32"/>
      <c r="E38" s="758">
        <f>E19-E37</f>
        <v>0</v>
      </c>
      <c r="F38" s="758">
        <f t="shared" ref="F38:P38" si="8">F19-F37</f>
        <v>0</v>
      </c>
      <c r="G38" s="758">
        <f t="shared" si="8"/>
        <v>0</v>
      </c>
      <c r="H38" s="758">
        <f t="shared" si="8"/>
        <v>0</v>
      </c>
      <c r="I38" s="758">
        <f t="shared" si="8"/>
        <v>0</v>
      </c>
      <c r="J38" s="758">
        <f t="shared" si="8"/>
        <v>0</v>
      </c>
      <c r="K38" s="758">
        <f t="shared" si="8"/>
        <v>0</v>
      </c>
      <c r="L38" s="758">
        <f t="shared" si="8"/>
        <v>0</v>
      </c>
      <c r="M38" s="758">
        <f t="shared" si="8"/>
        <v>0</v>
      </c>
      <c r="N38" s="758">
        <f t="shared" si="8"/>
        <v>0</v>
      </c>
      <c r="O38" s="758">
        <f t="shared" si="8"/>
        <v>0</v>
      </c>
      <c r="P38" s="758">
        <f t="shared" si="8"/>
        <v>0</v>
      </c>
      <c r="Q38" s="820">
        <f>SUM(E38:P38)</f>
        <v>0</v>
      </c>
    </row>
    <row r="39" spans="2:17">
      <c r="B39" s="212"/>
      <c r="C39" s="165"/>
      <c r="D39" s="165"/>
      <c r="E39" s="332"/>
      <c r="F39" s="170"/>
      <c r="G39" s="170"/>
      <c r="H39" s="170"/>
      <c r="I39" s="170"/>
      <c r="J39" s="170"/>
      <c r="K39" s="170"/>
      <c r="L39" s="170"/>
      <c r="M39" s="170"/>
      <c r="N39" s="170"/>
      <c r="O39" s="170"/>
      <c r="P39" s="170"/>
      <c r="Q39" s="170"/>
    </row>
    <row r="41" spans="2:17">
      <c r="B41" s="182" t="s">
        <v>692</v>
      </c>
      <c r="C41" s="156"/>
      <c r="D41" s="156"/>
      <c r="E41" s="20"/>
      <c r="F41" s="21"/>
      <c r="G41" s="20"/>
      <c r="H41" s="20"/>
      <c r="I41" s="20"/>
      <c r="J41" s="37"/>
      <c r="K41" s="37"/>
      <c r="L41" s="37"/>
    </row>
    <row r="42" spans="2:17">
      <c r="B42" s="182"/>
      <c r="C42" s="156"/>
      <c r="D42" s="156"/>
      <c r="E42" s="20"/>
      <c r="F42" s="21"/>
      <c r="G42" s="20"/>
      <c r="H42" s="20"/>
      <c r="I42" s="20"/>
      <c r="J42" s="37"/>
      <c r="K42" s="37"/>
      <c r="L42" s="37"/>
    </row>
    <row r="43" spans="2:17" ht="28.5">
      <c r="B43" s="289" t="s">
        <v>157</v>
      </c>
      <c r="C43" s="289" t="s">
        <v>49</v>
      </c>
      <c r="D43" s="289" t="s">
        <v>556</v>
      </c>
      <c r="E43" s="412" t="s">
        <v>118</v>
      </c>
      <c r="F43" s="412" t="s">
        <v>119</v>
      </c>
      <c r="G43" s="412" t="s">
        <v>120</v>
      </c>
      <c r="H43" s="412" t="s">
        <v>121</v>
      </c>
      <c r="I43" s="412" t="s">
        <v>122</v>
      </c>
      <c r="J43" s="412" t="s">
        <v>123</v>
      </c>
      <c r="K43" s="412" t="s">
        <v>124</v>
      </c>
      <c r="L43" s="412" t="s">
        <v>125</v>
      </c>
      <c r="M43" s="412" t="s">
        <v>126</v>
      </c>
      <c r="N43" s="412" t="s">
        <v>127</v>
      </c>
      <c r="O43" s="412" t="s">
        <v>128</v>
      </c>
      <c r="P43" s="412" t="s">
        <v>129</v>
      </c>
      <c r="Q43" s="412" t="s">
        <v>115</v>
      </c>
    </row>
    <row r="44" spans="2:17" s="331" customFormat="1">
      <c r="B44" s="162"/>
      <c r="C44" s="162"/>
      <c r="D44" s="162"/>
      <c r="E44" s="330"/>
      <c r="F44" s="330"/>
      <c r="G44" s="330"/>
      <c r="H44" s="330"/>
      <c r="I44" s="330"/>
      <c r="J44" s="330"/>
      <c r="K44" s="330"/>
      <c r="L44" s="330"/>
      <c r="M44" s="330"/>
      <c r="N44" s="330"/>
      <c r="O44" s="330"/>
      <c r="P44" s="330"/>
      <c r="Q44" s="330"/>
    </row>
    <row r="45" spans="2:17" s="331" customFormat="1">
      <c r="B45" s="162" t="s">
        <v>425</v>
      </c>
      <c r="C45" s="162" t="s">
        <v>549</v>
      </c>
      <c r="D45" s="162"/>
      <c r="E45" s="330"/>
      <c r="F45" s="330"/>
      <c r="G45" s="330"/>
      <c r="H45" s="330"/>
      <c r="I45" s="330"/>
      <c r="J45" s="330"/>
      <c r="K45" s="330"/>
      <c r="L45" s="330"/>
      <c r="M45" s="330"/>
      <c r="N45" s="330"/>
      <c r="O45" s="330"/>
      <c r="P45" s="330"/>
      <c r="Q45" s="330"/>
    </row>
    <row r="46" spans="2:17">
      <c r="B46" s="92">
        <v>1</v>
      </c>
      <c r="C46" s="284" t="s">
        <v>496</v>
      </c>
      <c r="D46" s="333"/>
      <c r="E46" s="758">
        <f>'F1'!C85</f>
        <v>7.3786970000000007</v>
      </c>
      <c r="F46" s="758">
        <f>'F1'!D85</f>
        <v>7.9660356000000005</v>
      </c>
      <c r="G46" s="758">
        <f>'F1'!E85</f>
        <v>7.5373758999999998</v>
      </c>
      <c r="H46" s="758">
        <f>'F1'!F85</f>
        <v>6.8523400000000008</v>
      </c>
      <c r="I46" s="758">
        <f>'F1'!G85</f>
        <v>7.1374825</v>
      </c>
      <c r="J46" s="758">
        <f>'F1'!H85</f>
        <v>6.7213513000000003</v>
      </c>
      <c r="K46" s="758">
        <f>'F1'!I85</f>
        <v>6.7866083000000001</v>
      </c>
      <c r="L46" s="758">
        <f>'F1'!J85</f>
        <v>6.3845222999999995</v>
      </c>
      <c r="M46" s="758">
        <f>'F1'!K85</f>
        <v>6.5273855000000003</v>
      </c>
      <c r="N46" s="758">
        <f>'F1'!L85</f>
        <v>6.3042021999999989</v>
      </c>
      <c r="O46" s="758">
        <f>'F1'!M85</f>
        <v>6.0815904500000002</v>
      </c>
      <c r="P46" s="758">
        <f>'F1'!N85</f>
        <v>7.20562769</v>
      </c>
      <c r="Q46" s="816">
        <v>55</v>
      </c>
    </row>
    <row r="47" spans="2:17">
      <c r="B47" s="92">
        <v>2</v>
      </c>
      <c r="C47" s="284" t="s">
        <v>807</v>
      </c>
      <c r="D47" s="333"/>
      <c r="E47" s="758">
        <f>E48-E46</f>
        <v>3.5752999999997037E-2</v>
      </c>
      <c r="F47" s="758">
        <f t="shared" ref="F47" si="9">F48-F46</f>
        <v>7.5414400000002324E-2</v>
      </c>
      <c r="G47" s="758">
        <f t="shared" ref="G47" si="10">G48-G46</f>
        <v>6.0824100000004933E-2</v>
      </c>
      <c r="H47" s="758">
        <f t="shared" ref="H47" si="11">H48-H46</f>
        <v>4.8309999999998965E-2</v>
      </c>
      <c r="I47" s="758">
        <f t="shared" ref="I47" si="12">I48-I46</f>
        <v>5.8767499999998307E-2</v>
      </c>
      <c r="J47" s="758">
        <f t="shared" ref="J47" si="13">J48-J46</f>
        <v>5.1898700000001519E-2</v>
      </c>
      <c r="K47" s="758">
        <f t="shared" ref="K47" si="14">K48-K46</f>
        <v>5.5491699999989486E-2</v>
      </c>
      <c r="L47" s="758">
        <f t="shared" ref="L47" si="15">L48-L46</f>
        <v>5.7227700000000326E-2</v>
      </c>
      <c r="M47" s="758">
        <f t="shared" ref="M47" si="16">M48-M46</f>
        <v>5.9214500000005721E-2</v>
      </c>
      <c r="N47" s="758">
        <f t="shared" ref="N47" si="17">N48-N46</f>
        <v>6.1297800000008174E-2</v>
      </c>
      <c r="O47" s="758">
        <f t="shared" ref="O47" si="18">O48-O46</f>
        <v>5.2059550000001842E-2</v>
      </c>
      <c r="P47" s="758">
        <f t="shared" ref="P47" si="19">P48-P46</f>
        <v>5.462230999999651E-2</v>
      </c>
      <c r="Q47" s="816">
        <f t="shared" ref="Q47:Q48" si="20">SUM(E47:P47)</f>
        <v>0.67088126000000514</v>
      </c>
    </row>
    <row r="48" spans="2:17">
      <c r="B48" s="92">
        <v>3</v>
      </c>
      <c r="C48" s="284" t="s">
        <v>800</v>
      </c>
      <c r="D48" s="333"/>
      <c r="E48" s="758">
        <v>7.4144499999999978</v>
      </c>
      <c r="F48" s="758">
        <v>8.0414500000000029</v>
      </c>
      <c r="G48" s="758">
        <v>7.5982000000000047</v>
      </c>
      <c r="H48" s="758">
        <v>6.9006499999999997</v>
      </c>
      <c r="I48" s="758">
        <v>7.1962499999999983</v>
      </c>
      <c r="J48" s="758">
        <v>6.7732500000000018</v>
      </c>
      <c r="K48" s="758">
        <v>6.8420999999999896</v>
      </c>
      <c r="L48" s="758">
        <v>6.4417499999999999</v>
      </c>
      <c r="M48" s="758">
        <v>6.586600000000006</v>
      </c>
      <c r="N48" s="758">
        <v>6.365500000000007</v>
      </c>
      <c r="O48" s="758">
        <v>6.133650000000002</v>
      </c>
      <c r="P48" s="758">
        <v>7.2602499999999965</v>
      </c>
      <c r="Q48" s="816">
        <f t="shared" si="20"/>
        <v>83.554100000000005</v>
      </c>
    </row>
    <row r="49" spans="2:18">
      <c r="B49" s="92">
        <v>4</v>
      </c>
      <c r="C49" s="284" t="s">
        <v>801</v>
      </c>
      <c r="D49" s="333"/>
      <c r="E49" s="817">
        <f>Backup!D78</f>
        <v>3.7314470353608978E-2</v>
      </c>
      <c r="F49" s="817">
        <f>Backup!E78</f>
        <v>3.3273057191298951E-2</v>
      </c>
      <c r="G49" s="817">
        <f>Backup!F78</f>
        <v>3.5687143376387571E-2</v>
      </c>
      <c r="H49" s="817">
        <f>Backup!G78</f>
        <v>3.7090172254780063E-2</v>
      </c>
      <c r="I49" s="817">
        <f>Backup!H78</f>
        <v>3.6786217309693184E-2</v>
      </c>
      <c r="J49" s="817">
        <f>Backup!I78</f>
        <v>3.6570614079399787E-2</v>
      </c>
      <c r="K49" s="817">
        <f>Backup!J78</f>
        <v>3.6746781101216229E-2</v>
      </c>
      <c r="L49" s="817">
        <f>Backup!K78</f>
        <v>3.7701693602892418E-2</v>
      </c>
      <c r="M49" s="817">
        <f>Backup!L78</f>
        <v>3.424989993553005E-2</v>
      </c>
      <c r="N49" s="817">
        <f>Backup!M78</f>
        <v>3.5447562318906181E-2</v>
      </c>
      <c r="O49" s="817">
        <f>Backup!N78</f>
        <v>3.6760684883007717E-2</v>
      </c>
      <c r="P49" s="817">
        <f>Backup!O78</f>
        <v>3.7803478876278961E-2</v>
      </c>
      <c r="Q49" s="818">
        <f>(Q50-Q48)/Q50</f>
        <v>3.6256519735538666E-2</v>
      </c>
    </row>
    <row r="50" spans="2:18">
      <c r="B50" s="92">
        <v>5</v>
      </c>
      <c r="C50" s="162" t="s">
        <v>802</v>
      </c>
      <c r="D50" s="824"/>
      <c r="E50" s="816">
        <f>E48/(1-E49)</f>
        <v>7.7018400834626002</v>
      </c>
      <c r="F50" s="816">
        <f t="shared" ref="F50" si="21">F48/(1-F49)</f>
        <v>8.3182226996142283</v>
      </c>
      <c r="G50" s="816">
        <f t="shared" ref="G50" si="22">G48/(1-G49)</f>
        <v>7.879393028735393</v>
      </c>
      <c r="H50" s="816">
        <f t="shared" ref="H50" si="23">H48/(1-H49)</f>
        <v>7.1664550523477155</v>
      </c>
      <c r="I50" s="816">
        <f t="shared" ref="I50" si="24">I48/(1-I49)</f>
        <v>7.4710828782998657</v>
      </c>
      <c r="J50" s="816">
        <f t="shared" ref="J50" si="25">J48/(1-J49)</f>
        <v>7.0303543767536798</v>
      </c>
      <c r="K50" s="816">
        <f t="shared" ref="K50" si="26">K48/(1-K49)</f>
        <v>7.1031166735389233</v>
      </c>
      <c r="L50" s="816">
        <f t="shared" ref="L50" si="27">L48/(1-L49)</f>
        <v>6.6941300396944792</v>
      </c>
      <c r="M50" s="816">
        <f t="shared" ref="M50" si="28">M48/(1-M49)</f>
        <v>6.8201908543010337</v>
      </c>
      <c r="N50" s="816">
        <f t="shared" ref="N50" si="29">N48/(1-N49)</f>
        <v>6.5994338423979055</v>
      </c>
      <c r="O50" s="816">
        <f t="shared" ref="O50" si="30">O48/(1-O49)</f>
        <v>6.3677321967023603</v>
      </c>
      <c r="P50" s="816">
        <f t="shared" ref="P50" si="31">P48/(1-P49)</f>
        <v>7.5454959985938883</v>
      </c>
      <c r="Q50" s="816">
        <f>SUM(E50:P50)</f>
        <v>86.697447724442071</v>
      </c>
    </row>
    <row r="51" spans="2:18">
      <c r="B51" s="92"/>
      <c r="C51" s="284"/>
      <c r="D51" s="284"/>
      <c r="E51" s="287"/>
      <c r="F51" s="29"/>
      <c r="G51" s="29"/>
      <c r="H51" s="29"/>
      <c r="I51" s="29"/>
      <c r="J51" s="29"/>
      <c r="K51" s="29"/>
      <c r="L51" s="29"/>
      <c r="M51" s="29"/>
      <c r="N51" s="29"/>
      <c r="O51" s="29"/>
      <c r="P51" s="29"/>
      <c r="Q51" s="29"/>
    </row>
    <row r="52" spans="2:18">
      <c r="B52" s="162" t="s">
        <v>550</v>
      </c>
      <c r="C52" s="288" t="s">
        <v>558</v>
      </c>
      <c r="D52" s="288"/>
      <c r="E52" s="287"/>
      <c r="F52" s="29"/>
      <c r="G52" s="29"/>
      <c r="H52" s="29"/>
      <c r="I52" s="29"/>
      <c r="J52" s="29"/>
      <c r="K52" s="29"/>
      <c r="L52" s="29"/>
      <c r="M52" s="29"/>
      <c r="N52" s="29"/>
      <c r="O52" s="29"/>
      <c r="P52" s="29"/>
      <c r="Q52" s="29"/>
    </row>
    <row r="53" spans="2:18">
      <c r="B53" s="93">
        <v>1</v>
      </c>
      <c r="C53" s="288" t="s">
        <v>432</v>
      </c>
      <c r="D53" s="288"/>
      <c r="E53" s="287"/>
      <c r="F53" s="29"/>
      <c r="G53" s="29"/>
      <c r="H53" s="29"/>
      <c r="I53" s="29"/>
      <c r="J53" s="29"/>
      <c r="K53" s="29"/>
      <c r="L53" s="29"/>
      <c r="M53" s="29"/>
      <c r="N53" s="29"/>
      <c r="O53" s="29"/>
      <c r="P53" s="29"/>
      <c r="Q53" s="29"/>
    </row>
    <row r="54" spans="2:18">
      <c r="B54" s="92">
        <v>1.1000000000000001</v>
      </c>
      <c r="C54" s="106" t="s">
        <v>799</v>
      </c>
      <c r="D54" s="106"/>
      <c r="E54" s="287"/>
      <c r="F54" s="29"/>
      <c r="G54" s="29"/>
      <c r="H54" s="29"/>
      <c r="I54" s="29"/>
      <c r="J54" s="29"/>
      <c r="K54" s="29"/>
      <c r="L54" s="29"/>
      <c r="M54" s="29"/>
      <c r="N54" s="29"/>
      <c r="O54" s="29"/>
      <c r="P54" s="29"/>
      <c r="Q54" s="29"/>
    </row>
    <row r="55" spans="2:18">
      <c r="B55" s="92"/>
      <c r="C55" s="106" t="s">
        <v>809</v>
      </c>
      <c r="D55" s="106"/>
      <c r="E55" s="758">
        <v>7.740800000000001</v>
      </c>
      <c r="F55" s="819">
        <v>8.3436599999999999</v>
      </c>
      <c r="G55" s="819">
        <v>7.8224999999999998</v>
      </c>
      <c r="H55" s="466">
        <v>0</v>
      </c>
      <c r="I55" s="466">
        <v>0</v>
      </c>
      <c r="J55" s="466">
        <v>0</v>
      </c>
      <c r="K55" s="466">
        <v>0</v>
      </c>
      <c r="L55" s="466">
        <v>0</v>
      </c>
      <c r="M55" s="466">
        <v>0</v>
      </c>
      <c r="N55" s="466">
        <v>0</v>
      </c>
      <c r="O55" s="466">
        <v>0</v>
      </c>
      <c r="P55" s="466">
        <v>0</v>
      </c>
      <c r="Q55" s="820">
        <f>SUM(E55:P55)</f>
        <v>23.906959999999998</v>
      </c>
    </row>
    <row r="56" spans="2:18">
      <c r="B56" s="92"/>
      <c r="C56" s="106" t="s">
        <v>810</v>
      </c>
      <c r="D56" s="106"/>
      <c r="E56" s="817">
        <v>2.2800000000000001E-2</v>
      </c>
      <c r="F56" s="817">
        <v>2.2800000000000001E-2</v>
      </c>
      <c r="G56" s="817">
        <v>2.2800000000000001E-2</v>
      </c>
      <c r="H56" s="821">
        <v>0</v>
      </c>
      <c r="I56" s="821">
        <v>0</v>
      </c>
      <c r="J56" s="821">
        <v>0</v>
      </c>
      <c r="K56" s="821">
        <v>0</v>
      </c>
      <c r="L56" s="821">
        <v>0</v>
      </c>
      <c r="M56" s="821">
        <v>0</v>
      </c>
      <c r="N56" s="821">
        <v>0</v>
      </c>
      <c r="O56" s="821">
        <v>0</v>
      </c>
      <c r="P56" s="821">
        <v>0</v>
      </c>
      <c r="Q56" s="820"/>
    </row>
    <row r="57" spans="2:18">
      <c r="B57" s="92"/>
      <c r="C57" s="106" t="s">
        <v>811</v>
      </c>
      <c r="D57" s="106"/>
      <c r="E57" s="758">
        <f>E55*(1-E56)</f>
        <v>7.5643097600000004</v>
      </c>
      <c r="F57" s="758">
        <f t="shared" ref="F57" si="32">F55*(1-F56)</f>
        <v>8.1534245519999988</v>
      </c>
      <c r="G57" s="758">
        <f t="shared" ref="G57:P57" si="33">G55*(1-G56)</f>
        <v>7.6441469999999994</v>
      </c>
      <c r="H57" s="758">
        <f t="shared" si="33"/>
        <v>0</v>
      </c>
      <c r="I57" s="758">
        <f t="shared" si="33"/>
        <v>0</v>
      </c>
      <c r="J57" s="758">
        <f t="shared" si="33"/>
        <v>0</v>
      </c>
      <c r="K57" s="758">
        <f t="shared" si="33"/>
        <v>0</v>
      </c>
      <c r="L57" s="758">
        <f t="shared" si="33"/>
        <v>0</v>
      </c>
      <c r="M57" s="758">
        <f t="shared" si="33"/>
        <v>0</v>
      </c>
      <c r="N57" s="758">
        <f t="shared" si="33"/>
        <v>0</v>
      </c>
      <c r="O57" s="758">
        <f t="shared" si="33"/>
        <v>0</v>
      </c>
      <c r="P57" s="758">
        <f t="shared" si="33"/>
        <v>0</v>
      </c>
      <c r="Q57" s="820">
        <f>SUM(E57:P57)</f>
        <v>23.361881311999998</v>
      </c>
    </row>
    <row r="58" spans="2:18">
      <c r="B58" s="92">
        <v>2</v>
      </c>
      <c r="C58" s="288" t="s">
        <v>431</v>
      </c>
      <c r="D58" s="106"/>
      <c r="E58" s="456"/>
      <c r="F58" s="456"/>
      <c r="G58" s="456"/>
      <c r="H58" s="29"/>
      <c r="I58" s="29"/>
      <c r="J58" s="29"/>
      <c r="K58" s="29"/>
      <c r="L58" s="29"/>
      <c r="M58" s="29"/>
      <c r="N58" s="29"/>
      <c r="O58" s="29"/>
      <c r="P58" s="29"/>
      <c r="Q58" s="464"/>
    </row>
    <row r="59" spans="2:18">
      <c r="B59" s="92">
        <v>2.1</v>
      </c>
      <c r="C59" s="106" t="s">
        <v>1010</v>
      </c>
      <c r="D59" s="106"/>
      <c r="E59" s="758">
        <v>0</v>
      </c>
      <c r="F59" s="758">
        <v>0</v>
      </c>
      <c r="G59" s="758">
        <v>0</v>
      </c>
      <c r="H59" s="819">
        <f>Backup!G82/10^6</f>
        <v>7.7186562914243719</v>
      </c>
      <c r="I59" s="819">
        <f>Backup!H82/10^6</f>
        <v>7.7862154121722513</v>
      </c>
      <c r="J59" s="819">
        <f>Backup!I82/10^6</f>
        <v>7.5555096267324213</v>
      </c>
      <c r="K59" s="819">
        <f>Backup!J82/10^6</f>
        <v>6.8164516569240092</v>
      </c>
      <c r="L59" s="819">
        <f>Backup!K82/10^6</f>
        <v>6.5588154505131646</v>
      </c>
      <c r="M59" s="819">
        <f>Backup!L82/10^6</f>
        <v>6.70645542730737</v>
      </c>
      <c r="N59" s="819">
        <f>Backup!M82/10^6</f>
        <v>6.5753812361385897</v>
      </c>
      <c r="O59" s="819">
        <f>Backup!N82/10^6</f>
        <v>5.9798721974926883</v>
      </c>
      <c r="P59" s="819">
        <f>Backup!O82/10^6</f>
        <v>6.9594202982354929</v>
      </c>
      <c r="Q59" s="820">
        <f t="shared" ref="Q59:Q60" si="34">SUM(E59:P59)</f>
        <v>62.656777596940358</v>
      </c>
      <c r="R59" s="458"/>
    </row>
    <row r="60" spans="2:18">
      <c r="B60" s="92">
        <v>2.2000000000000002</v>
      </c>
      <c r="C60" s="106" t="s">
        <v>813</v>
      </c>
      <c r="D60" s="106"/>
      <c r="E60" s="758">
        <v>0</v>
      </c>
      <c r="F60" s="758">
        <v>0</v>
      </c>
      <c r="G60" s="758">
        <v>0</v>
      </c>
      <c r="H60" s="819">
        <f>Backup!G83/10^6</f>
        <v>2.2907760000000001</v>
      </c>
      <c r="I60" s="819">
        <f>Backup!H83/10^6</f>
        <v>2.4168669999999999</v>
      </c>
      <c r="J60" s="819">
        <f>Backup!I83/10^6</f>
        <v>2.460753</v>
      </c>
      <c r="K60" s="819">
        <f>Backup!J83/10^6</f>
        <v>1.9944</v>
      </c>
      <c r="L60" s="819">
        <f>Backup!K83/10^6</f>
        <v>2.2963499999999999</v>
      </c>
      <c r="M60" s="819">
        <f>Backup!L83/10^6</f>
        <v>2.0374099999999999</v>
      </c>
      <c r="N60" s="819">
        <f>Backup!M83/10^6</f>
        <v>2.0566499999999999</v>
      </c>
      <c r="O60" s="819">
        <f>Backup!N83/10^6</f>
        <v>1.7883100000000001</v>
      </c>
      <c r="P60" s="819">
        <f>Backup!O83/10^6</f>
        <v>1.6473599999999999</v>
      </c>
      <c r="Q60" s="820">
        <f t="shared" si="34"/>
        <v>18.988875999999998</v>
      </c>
    </row>
    <row r="61" spans="2:18">
      <c r="B61" s="92">
        <v>3</v>
      </c>
      <c r="C61" s="106" t="s">
        <v>820</v>
      </c>
      <c r="D61" s="106"/>
      <c r="E61" s="758">
        <v>0</v>
      </c>
      <c r="F61" s="758">
        <v>0</v>
      </c>
      <c r="G61" s="758">
        <v>0</v>
      </c>
      <c r="H61" s="819">
        <f>Backup!G85/10^6</f>
        <v>-2.4585053883429451</v>
      </c>
      <c r="I61" s="819">
        <f>Backup!H85/10^6</f>
        <v>-2.3924678419400598</v>
      </c>
      <c r="J61" s="819">
        <f>Backup!I85/10^6</f>
        <v>-2.6967321507609898</v>
      </c>
      <c r="K61" s="819">
        <f>Backup!J85/10^6</f>
        <v>-1.4040285290155987</v>
      </c>
      <c r="L61" s="819">
        <f>Backup!K85/10^6</f>
        <v>-1.3188155809517641</v>
      </c>
      <c r="M61" s="819">
        <f>Backup!L85/10^6</f>
        <v>-1.3136907776818314</v>
      </c>
      <c r="N61" s="819">
        <f>Backup!M85/10^6</f>
        <v>-1.1762605698531414</v>
      </c>
      <c r="O61" s="819">
        <f>Backup!N85/10^6</f>
        <v>-1.0485847225591325</v>
      </c>
      <c r="P61" s="819">
        <f>Backup!O85/10^6</f>
        <v>-1.413620721067963</v>
      </c>
      <c r="Q61" s="820">
        <f>SUM(E61:P61)</f>
        <v>-15.222706282173426</v>
      </c>
    </row>
    <row r="62" spans="2:18" s="331" customFormat="1">
      <c r="B62" s="92">
        <v>4</v>
      </c>
      <c r="C62" s="106" t="s">
        <v>812</v>
      </c>
      <c r="D62" s="106"/>
      <c r="E62" s="758">
        <f>E50-(E57+E59+E60+E61)</f>
        <v>0.13753032346259975</v>
      </c>
      <c r="F62" s="758">
        <f t="shared" ref="F62:P62" si="35">F50-(F57+F59+F60+F61)</f>
        <v>0.16479814761422951</v>
      </c>
      <c r="G62" s="758">
        <f t="shared" si="35"/>
        <v>0.23524602873539369</v>
      </c>
      <c r="H62" s="758">
        <f t="shared" si="35"/>
        <v>-0.3844718507337106</v>
      </c>
      <c r="I62" s="758">
        <f t="shared" si="35"/>
        <v>-0.3395316919323248</v>
      </c>
      <c r="J62" s="758">
        <f t="shared" si="35"/>
        <v>-0.28917609921775167</v>
      </c>
      <c r="K62" s="758">
        <f t="shared" si="35"/>
        <v>-0.30370645436948784</v>
      </c>
      <c r="L62" s="758">
        <f t="shared" si="35"/>
        <v>-0.84221982986692101</v>
      </c>
      <c r="M62" s="758">
        <f t="shared" si="35"/>
        <v>-0.60998379532450464</v>
      </c>
      <c r="N62" s="758">
        <f t="shared" si="35"/>
        <v>-0.85633682388754195</v>
      </c>
      <c r="O62" s="758">
        <f t="shared" si="35"/>
        <v>-0.35186527823119551</v>
      </c>
      <c r="P62" s="758">
        <f t="shared" si="35"/>
        <v>0.3523364214263589</v>
      </c>
      <c r="Q62" s="820">
        <f>SUM(E62:P62)</f>
        <v>-3.0873809023248562</v>
      </c>
    </row>
    <row r="63" spans="2:18" s="331" customFormat="1">
      <c r="B63" s="93">
        <v>5</v>
      </c>
      <c r="C63" s="32" t="s">
        <v>551</v>
      </c>
      <c r="D63" s="32"/>
      <c r="E63" s="758">
        <f>(E57+E59+E60+E61+E62)</f>
        <v>7.7018400834626002</v>
      </c>
      <c r="F63" s="758">
        <f t="shared" ref="F63:P63" si="36">(F57+F59+F60+F61+F62)</f>
        <v>8.3182226996142283</v>
      </c>
      <c r="G63" s="758">
        <f t="shared" si="36"/>
        <v>7.879393028735393</v>
      </c>
      <c r="H63" s="758">
        <f t="shared" si="36"/>
        <v>7.1664550523477155</v>
      </c>
      <c r="I63" s="758">
        <f t="shared" si="36"/>
        <v>7.4710828782998657</v>
      </c>
      <c r="J63" s="758">
        <f t="shared" si="36"/>
        <v>7.0303543767536798</v>
      </c>
      <c r="K63" s="758">
        <f t="shared" si="36"/>
        <v>7.1031166735389233</v>
      </c>
      <c r="L63" s="758">
        <f t="shared" si="36"/>
        <v>6.6941300396944792</v>
      </c>
      <c r="M63" s="758">
        <f t="shared" si="36"/>
        <v>6.8201908543010337</v>
      </c>
      <c r="N63" s="758">
        <f t="shared" si="36"/>
        <v>6.5994338423979055</v>
      </c>
      <c r="O63" s="758">
        <f t="shared" si="36"/>
        <v>6.3677321967023603</v>
      </c>
      <c r="P63" s="758">
        <f t="shared" si="36"/>
        <v>7.5454959985938883</v>
      </c>
      <c r="Q63" s="820">
        <f>SUM(E63:P63)</f>
        <v>86.697447724442071</v>
      </c>
    </row>
    <row r="64" spans="2:18">
      <c r="B64" s="93">
        <v>6</v>
      </c>
      <c r="C64" s="32" t="s">
        <v>553</v>
      </c>
      <c r="D64" s="32"/>
      <c r="E64" s="758">
        <f t="shared" ref="E64:P64" si="37">E50-E63</f>
        <v>0</v>
      </c>
      <c r="F64" s="758">
        <f t="shared" si="37"/>
        <v>0</v>
      </c>
      <c r="G64" s="758">
        <f t="shared" si="37"/>
        <v>0</v>
      </c>
      <c r="H64" s="758">
        <f t="shared" si="37"/>
        <v>0</v>
      </c>
      <c r="I64" s="758">
        <f t="shared" si="37"/>
        <v>0</v>
      </c>
      <c r="J64" s="758">
        <f t="shared" si="37"/>
        <v>0</v>
      </c>
      <c r="K64" s="758">
        <f t="shared" si="37"/>
        <v>0</v>
      </c>
      <c r="L64" s="758">
        <f t="shared" si="37"/>
        <v>0</v>
      </c>
      <c r="M64" s="758">
        <f t="shared" si="37"/>
        <v>0</v>
      </c>
      <c r="N64" s="758">
        <f t="shared" si="37"/>
        <v>0</v>
      </c>
      <c r="O64" s="758">
        <f t="shared" si="37"/>
        <v>0</v>
      </c>
      <c r="P64" s="758">
        <f t="shared" si="37"/>
        <v>0</v>
      </c>
      <c r="Q64" s="820">
        <f>SUM(E64:P64)</f>
        <v>0</v>
      </c>
    </row>
    <row r="65" spans="2:21" s="331" customFormat="1">
      <c r="B65" s="18"/>
      <c r="C65" s="18"/>
      <c r="D65" s="18"/>
      <c r="E65" s="18"/>
      <c r="F65" s="18"/>
      <c r="G65" s="18"/>
      <c r="H65" s="18"/>
      <c r="I65" s="18"/>
      <c r="J65" s="18"/>
      <c r="K65" s="18"/>
      <c r="L65" s="18"/>
      <c r="M65" s="18"/>
      <c r="N65" s="18"/>
      <c r="O65" s="18"/>
      <c r="P65" s="18"/>
      <c r="Q65" s="18"/>
    </row>
    <row r="66" spans="2:21" s="331" customFormat="1">
      <c r="B66" s="182" t="s">
        <v>1307</v>
      </c>
      <c r="C66" s="156"/>
      <c r="D66" s="156"/>
      <c r="E66" s="20"/>
      <c r="F66" s="21"/>
      <c r="G66" s="20"/>
      <c r="H66" s="20"/>
      <c r="I66" s="20"/>
      <c r="J66" s="37"/>
      <c r="K66" s="37"/>
      <c r="L66" s="37"/>
      <c r="M66" s="18"/>
      <c r="N66" s="18"/>
      <c r="O66" s="18"/>
      <c r="P66" s="18"/>
      <c r="Q66" s="18"/>
    </row>
    <row r="67" spans="2:21">
      <c r="B67" s="182"/>
      <c r="C67" s="156"/>
      <c r="D67" s="156"/>
      <c r="E67" s="20"/>
      <c r="F67" s="21"/>
      <c r="G67" s="20"/>
      <c r="H67" s="20"/>
      <c r="I67" s="20"/>
      <c r="J67" s="37"/>
      <c r="K67" s="37"/>
      <c r="L67" s="37"/>
    </row>
    <row r="68" spans="2:21" ht="28.5">
      <c r="B68" s="289" t="s">
        <v>157</v>
      </c>
      <c r="C68" s="289" t="s">
        <v>49</v>
      </c>
      <c r="D68" s="289" t="s">
        <v>556</v>
      </c>
      <c r="E68" s="412" t="s">
        <v>118</v>
      </c>
      <c r="F68" s="412" t="s">
        <v>119</v>
      </c>
      <c r="G68" s="412" t="s">
        <v>120</v>
      </c>
      <c r="H68" s="412" t="s">
        <v>121</v>
      </c>
      <c r="I68" s="412" t="s">
        <v>122</v>
      </c>
      <c r="J68" s="412" t="s">
        <v>123</v>
      </c>
      <c r="K68" s="412" t="s">
        <v>124</v>
      </c>
      <c r="L68" s="412" t="s">
        <v>125</v>
      </c>
      <c r="M68" s="412" t="s">
        <v>126</v>
      </c>
      <c r="N68" s="412" t="s">
        <v>127</v>
      </c>
      <c r="O68" s="412" t="s">
        <v>128</v>
      </c>
      <c r="P68" s="412" t="s">
        <v>129</v>
      </c>
      <c r="Q68" s="412" t="s">
        <v>115</v>
      </c>
    </row>
    <row r="69" spans="2:21">
      <c r="B69" s="162"/>
      <c r="C69" s="162"/>
      <c r="D69" s="162"/>
      <c r="E69" s="330"/>
      <c r="F69" s="330"/>
      <c r="G69" s="330"/>
      <c r="H69" s="330"/>
      <c r="I69" s="330"/>
      <c r="J69" s="330"/>
      <c r="K69" s="330"/>
      <c r="L69" s="330"/>
      <c r="M69" s="330"/>
      <c r="N69" s="330"/>
      <c r="O69" s="330"/>
      <c r="P69" s="330"/>
      <c r="Q69" s="330"/>
    </row>
    <row r="70" spans="2:21">
      <c r="B70" s="162" t="s">
        <v>425</v>
      </c>
      <c r="C70" s="162" t="s">
        <v>549</v>
      </c>
      <c r="D70" s="162"/>
      <c r="E70" s="330"/>
      <c r="F70" s="330"/>
      <c r="G70" s="330"/>
      <c r="H70" s="330"/>
      <c r="I70" s="330"/>
      <c r="J70" s="330"/>
      <c r="K70" s="330"/>
      <c r="L70" s="330"/>
      <c r="M70" s="330"/>
      <c r="N70" s="330"/>
      <c r="O70" s="330"/>
      <c r="P70" s="330"/>
      <c r="Q70" s="330"/>
    </row>
    <row r="71" spans="2:21">
      <c r="B71" s="92">
        <v>1</v>
      </c>
      <c r="C71" s="284" t="s">
        <v>496</v>
      </c>
      <c r="D71" s="333"/>
      <c r="E71" s="758">
        <f>'F1'!C106</f>
        <v>7.2877486999999999</v>
      </c>
      <c r="F71" s="758">
        <f>'F1'!D106</f>
        <v>7.9510538999999998</v>
      </c>
      <c r="G71" s="758">
        <f>'F1'!E106</f>
        <v>7.2388567000000004</v>
      </c>
      <c r="H71" s="758">
        <f>'F1'!F106</f>
        <v>7.4432666799999998</v>
      </c>
      <c r="I71" s="758">
        <f>'F1'!G106</f>
        <v>7.0571270499999992</v>
      </c>
      <c r="J71" s="758">
        <f>'F1'!H106</f>
        <v>6.9879688599999987</v>
      </c>
      <c r="K71" s="758">
        <f>'F1'!I106</f>
        <v>7.1181390500000008</v>
      </c>
      <c r="L71" s="758">
        <f>'F1'!J106</f>
        <v>6.5227428000000014</v>
      </c>
      <c r="M71" s="758">
        <f>'F1'!K106</f>
        <v>6.26520922</v>
      </c>
      <c r="N71" s="758">
        <f>'F1'!L106</f>
        <v>6.3509621300000019</v>
      </c>
      <c r="O71" s="758">
        <f>'F1'!M106</f>
        <v>6.0244689600000001</v>
      </c>
      <c r="P71" s="758">
        <f>'F1'!N106</f>
        <v>7.1596878899999998</v>
      </c>
      <c r="Q71" s="816">
        <f>SUM(E71:P71)</f>
        <v>83.407231940000017</v>
      </c>
      <c r="S71" s="1029">
        <f>+SUM(E71:J71)</f>
        <v>43.966021889999993</v>
      </c>
      <c r="T71" s="1029">
        <f>+SUM(K71:P71)</f>
        <v>39.441210050000009</v>
      </c>
      <c r="U71" s="1023">
        <f>+S71+T71</f>
        <v>83.407231940000003</v>
      </c>
    </row>
    <row r="72" spans="2:21">
      <c r="B72" s="92">
        <v>2</v>
      </c>
      <c r="C72" s="284" t="s">
        <v>807</v>
      </c>
      <c r="D72" s="333"/>
      <c r="E72" s="758">
        <f>E73-E71</f>
        <v>4.995130000000092E-2</v>
      </c>
      <c r="F72" s="758">
        <f t="shared" ref="F72" si="38">F73-F71</f>
        <v>6.5896099999998015E-2</v>
      </c>
      <c r="G72" s="758">
        <f t="shared" ref="G72" si="39">G73-G71</f>
        <v>0.30354330000000118</v>
      </c>
      <c r="H72" s="758">
        <f t="shared" ref="H72" si="40">H73-H71</f>
        <v>-0.19006668000000992</v>
      </c>
      <c r="I72" s="758">
        <f t="shared" ref="I72" si="41">I73-I71</f>
        <v>5.8822950000012142E-2</v>
      </c>
      <c r="J72" s="758">
        <f t="shared" ref="J72" si="42">J73-J71</f>
        <v>5.4181139999991856E-2</v>
      </c>
      <c r="K72" s="758">
        <f t="shared" ref="K72" si="43">K73-K71</f>
        <v>5.9360950000006518E-2</v>
      </c>
      <c r="L72" s="758">
        <f t="shared" ref="L72" si="44">L73-L71</f>
        <v>5.5507199999991208E-2</v>
      </c>
      <c r="M72" s="758">
        <f t="shared" ref="M72" si="45">M73-M71</f>
        <v>5.7240780000011426E-2</v>
      </c>
      <c r="N72" s="758">
        <f t="shared" ref="N72" si="46">N73-N71</f>
        <v>7.3587870000000777E-2</v>
      </c>
      <c r="O72" s="758">
        <f t="shared" ref="O72" si="47">O73-O71</f>
        <v>8.3881039999983642E-2</v>
      </c>
      <c r="P72" s="758">
        <f t="shared" ref="P72" si="48">P73-P71</f>
        <v>9.4462110000010036E-2</v>
      </c>
      <c r="Q72" s="816">
        <f t="shared" ref="Q72:Q73" si="49">SUM(E72:P72)</f>
        <v>0.7663680599999978</v>
      </c>
      <c r="S72" s="459">
        <f>+(S73-S71)/S73</f>
        <v>7.7260405770017823E-3</v>
      </c>
      <c r="T72" s="459">
        <f>+(T73-T71)/T73</f>
        <v>1.0636831576372751E-2</v>
      </c>
      <c r="U72" s="459">
        <f>+(U73-U71)/U73</f>
        <v>9.1046130853378107E-3</v>
      </c>
    </row>
    <row r="73" spans="2:21">
      <c r="B73" s="92">
        <v>3</v>
      </c>
      <c r="C73" s="284" t="s">
        <v>800</v>
      </c>
      <c r="D73" s="333"/>
      <c r="E73" s="758">
        <v>7.3377000000000008</v>
      </c>
      <c r="F73" s="758">
        <v>8.0169499999999978</v>
      </c>
      <c r="G73" s="758">
        <v>7.5424000000000015</v>
      </c>
      <c r="H73" s="758">
        <v>7.2531999999999899</v>
      </c>
      <c r="I73" s="758">
        <v>7.1159500000000113</v>
      </c>
      <c r="J73" s="758">
        <v>7.0421499999999906</v>
      </c>
      <c r="K73" s="758">
        <v>7.1775000000000073</v>
      </c>
      <c r="L73" s="758">
        <v>6.5782499999999926</v>
      </c>
      <c r="M73" s="758">
        <v>6.3224500000000114</v>
      </c>
      <c r="N73" s="758">
        <v>6.4245500000000026</v>
      </c>
      <c r="O73" s="758">
        <v>6.1083499999999837</v>
      </c>
      <c r="P73" s="758">
        <v>7.2541500000000099</v>
      </c>
      <c r="Q73" s="816">
        <f t="shared" si="49"/>
        <v>84.173599999999993</v>
      </c>
      <c r="S73" s="1029">
        <f>+SUM(E73:J73)</f>
        <v>44.30834999999999</v>
      </c>
      <c r="T73" s="1029">
        <f>+SUM(K73:P73)</f>
        <v>39.865250000000003</v>
      </c>
      <c r="U73" s="1023">
        <f>+S73+T73</f>
        <v>84.173599999999993</v>
      </c>
    </row>
    <row r="74" spans="2:21">
      <c r="B74" s="92">
        <v>4</v>
      </c>
      <c r="C74" s="284" t="s">
        <v>801</v>
      </c>
      <c r="D74" s="333"/>
      <c r="E74" s="817">
        <f>+Backup!D79</f>
        <v>3.6350044219817725E-2</v>
      </c>
      <c r="F74" s="817">
        <f>+Backup!E79</f>
        <v>3.5083427674208162E-2</v>
      </c>
      <c r="G74" s="817">
        <f>+Backup!F79</f>
        <v>3.3609666994520032E-2</v>
      </c>
      <c r="H74" s="817">
        <f>+Backup!G79</f>
        <v>3.1015627996573449E-2</v>
      </c>
      <c r="I74" s="817">
        <f>+Backup!H79</f>
        <v>3.3804253549231972E-2</v>
      </c>
      <c r="J74" s="817">
        <f>+Backup!I79</f>
        <v>3.3208226275667288E-2</v>
      </c>
      <c r="K74" s="817">
        <f>+Backup!J79</f>
        <v>3.5346652827791487E-2</v>
      </c>
      <c r="L74" s="817">
        <f>+Backup!K79</f>
        <v>3.0103407922436543E-2</v>
      </c>
      <c r="M74" s="817">
        <f>+Backup!L79</f>
        <v>2.8538948857250036E-2</v>
      </c>
      <c r="N74" s="817">
        <f>+Backup!M79</f>
        <v>3.2140947230762662E-2</v>
      </c>
      <c r="O74" s="817">
        <f>+Backup!N79</f>
        <v>3.218014298327676E-2</v>
      </c>
      <c r="P74" s="817">
        <f>+Backup!O79</f>
        <v>3.349837007207046E-2</v>
      </c>
      <c r="Q74" s="818">
        <f>+(Q75-Q73)/Q75</f>
        <v>3.3020772099547083E-2</v>
      </c>
      <c r="S74" s="459">
        <f>+(S75-S73)/S75</f>
        <v>3.3875745813885416E-2</v>
      </c>
      <c r="T74" s="459">
        <f>+(T75-T73)/T75</f>
        <v>3.2068731688702543E-2</v>
      </c>
      <c r="U74" s="459">
        <f>+(U75-U73)/U75</f>
        <v>3.3020772099547242E-2</v>
      </c>
    </row>
    <row r="75" spans="2:21">
      <c r="B75" s="93">
        <v>5</v>
      </c>
      <c r="C75" s="162" t="s">
        <v>802</v>
      </c>
      <c r="D75" s="824"/>
      <c r="E75" s="816">
        <f>+E73/(1-E74)</f>
        <v>7.6144869368663155</v>
      </c>
      <c r="F75" s="816">
        <f t="shared" ref="F75:P75" si="50">+F73/(1-F74)</f>
        <v>8.3084385012439981</v>
      </c>
      <c r="G75" s="816">
        <f t="shared" si="50"/>
        <v>7.8047138329116876</v>
      </c>
      <c r="H75" s="816">
        <f t="shared" si="50"/>
        <v>7.485363241724543</v>
      </c>
      <c r="I75" s="816">
        <f t="shared" si="50"/>
        <v>7.3649154699136332</v>
      </c>
      <c r="J75" s="816">
        <f t="shared" si="50"/>
        <v>7.2840400501876452</v>
      </c>
      <c r="K75" s="816">
        <f t="shared" si="50"/>
        <v>7.4404966520254971</v>
      </c>
      <c r="L75" s="816">
        <f t="shared" si="50"/>
        <v>6.7824240787454215</v>
      </c>
      <c r="M75" s="816">
        <f t="shared" si="50"/>
        <v>6.5081868105394252</v>
      </c>
      <c r="N75" s="816">
        <f t="shared" si="50"/>
        <v>6.6378983402780465</v>
      </c>
      <c r="O75" s="816">
        <f t="shared" si="50"/>
        <v>6.3114534752663536</v>
      </c>
      <c r="P75" s="816">
        <f t="shared" si="50"/>
        <v>7.505574512627506</v>
      </c>
      <c r="Q75" s="816">
        <f>SUM(E75:P75)</f>
        <v>87.047991902330054</v>
      </c>
      <c r="S75" s="1029">
        <f>+SUM(E75:J75)</f>
        <v>45.861958032847824</v>
      </c>
      <c r="T75" s="1029">
        <f>+SUM(K75:P75)</f>
        <v>41.186033869482245</v>
      </c>
      <c r="U75" s="1023">
        <f>+S75+T75</f>
        <v>87.047991902330068</v>
      </c>
    </row>
    <row r="76" spans="2:21">
      <c r="B76" s="92"/>
      <c r="C76" s="284"/>
      <c r="D76" s="284"/>
      <c r="E76" s="287"/>
      <c r="F76" s="29"/>
      <c r="G76" s="29"/>
      <c r="H76" s="29"/>
      <c r="I76" s="29"/>
      <c r="J76" s="29"/>
      <c r="K76" s="29"/>
      <c r="L76" s="29"/>
      <c r="M76" s="29"/>
      <c r="N76" s="29"/>
      <c r="O76" s="29"/>
      <c r="P76" s="29"/>
      <c r="Q76" s="29"/>
    </row>
    <row r="77" spans="2:21">
      <c r="B77" s="162" t="s">
        <v>550</v>
      </c>
      <c r="C77" s="288" t="s">
        <v>558</v>
      </c>
      <c r="D77" s="288"/>
      <c r="E77" s="287"/>
      <c r="F77" s="29"/>
      <c r="G77" s="29"/>
      <c r="H77" s="29"/>
      <c r="I77" s="29"/>
      <c r="J77" s="29"/>
      <c r="K77" s="29"/>
      <c r="L77" s="29"/>
      <c r="M77" s="29"/>
      <c r="N77" s="29"/>
      <c r="O77" s="29"/>
      <c r="P77" s="29"/>
      <c r="Q77" s="29"/>
    </row>
    <row r="78" spans="2:21">
      <c r="B78" s="92">
        <v>1</v>
      </c>
      <c r="C78" s="288" t="s">
        <v>431</v>
      </c>
      <c r="D78" s="106"/>
      <c r="E78" s="456"/>
      <c r="F78" s="456"/>
      <c r="G78" s="456"/>
      <c r="H78" s="29"/>
      <c r="I78" s="29"/>
      <c r="J78" s="29"/>
      <c r="K78" s="29"/>
      <c r="L78" s="29"/>
      <c r="M78" s="29"/>
      <c r="N78" s="29"/>
      <c r="O78" s="29"/>
      <c r="P78" s="29"/>
      <c r="Q78" s="464"/>
    </row>
    <row r="79" spans="2:21">
      <c r="B79" s="92">
        <v>1.1000000000000001</v>
      </c>
      <c r="C79" s="106" t="s">
        <v>1010</v>
      </c>
      <c r="D79" s="993">
        <f>I137</f>
        <v>3.8730327000000004</v>
      </c>
      <c r="E79" s="758">
        <f>Backup!D88/10^6</f>
        <v>6.722991020899121</v>
      </c>
      <c r="F79" s="758">
        <f>Backup!E88/10^6</f>
        <v>6.8410194718588082</v>
      </c>
      <c r="G79" s="758">
        <f>Backup!F88/10^6</f>
        <v>6.66378732284306</v>
      </c>
      <c r="H79" s="758">
        <f>Backup!G88/10^6</f>
        <v>6.7101701408833527</v>
      </c>
      <c r="I79" s="758">
        <f>Backup!H88/10^6</f>
        <v>6.6656161793899606</v>
      </c>
      <c r="J79" s="758">
        <f>Backup!I88/10^6</f>
        <v>6.1910332324638349</v>
      </c>
      <c r="K79" s="758">
        <f>Backup!J88/10^6</f>
        <v>6.3796699799367058</v>
      </c>
      <c r="L79" s="758">
        <f>Backup!K88/10^6</f>
        <v>6.4714630933542354</v>
      </c>
      <c r="M79" s="758">
        <f>Backup!L88/10^6</f>
        <v>6.4038285350524609</v>
      </c>
      <c r="N79" s="758">
        <f>Backup!M88/10^6</f>
        <v>6.4126795965195225</v>
      </c>
      <c r="O79" s="758">
        <f>Backup!N88/10^6</f>
        <v>5.5936856024916786</v>
      </c>
      <c r="P79" s="758">
        <f>Backup!O88/10^6</f>
        <v>6.452860302434317</v>
      </c>
      <c r="Q79" s="820">
        <f t="shared" ref="Q79:Q80" si="51">SUM(E79:P79)</f>
        <v>77.508804478127061</v>
      </c>
    </row>
    <row r="80" spans="2:21">
      <c r="B80" s="92">
        <v>1.2</v>
      </c>
      <c r="C80" s="106" t="s">
        <v>813</v>
      </c>
      <c r="D80" s="993">
        <f>I138</f>
        <v>4.0219360000000002</v>
      </c>
      <c r="E80" s="758">
        <f>Backup!D89/10^6</f>
        <v>1.7370099999999999</v>
      </c>
      <c r="F80" s="758">
        <f>Backup!E89/10^6</f>
        <v>1.923314</v>
      </c>
      <c r="G80" s="758">
        <f>Backup!F89/10^6</f>
        <v>2.0544099999999998</v>
      </c>
      <c r="H80" s="758">
        <f>Backup!G89/10^6</f>
        <v>1.9896499999999999</v>
      </c>
      <c r="I80" s="758">
        <f>Backup!H89/10^6</f>
        <v>2.11436</v>
      </c>
      <c r="J80" s="758">
        <f>Backup!I89/10^6</f>
        <v>2.276567</v>
      </c>
      <c r="K80" s="758">
        <f>Backup!J89/10^6</f>
        <v>2.3063910000000001</v>
      </c>
      <c r="L80" s="758">
        <f>Backup!K89/10^6</f>
        <v>2.8825080000000001</v>
      </c>
      <c r="M80" s="758">
        <f>Backup!L89/10^6</f>
        <v>2.5535320000000001</v>
      </c>
      <c r="N80" s="758">
        <f>Backup!M89/10^6</f>
        <v>2.716018</v>
      </c>
      <c r="O80" s="758">
        <f>Backup!N89/10^6</f>
        <v>2.54705</v>
      </c>
      <c r="P80" s="758">
        <f>Backup!O89/10^6</f>
        <v>2.8000929999999999</v>
      </c>
      <c r="Q80" s="820">
        <f t="shared" si="51"/>
        <v>27.900903000000003</v>
      </c>
    </row>
    <row r="81" spans="2:17">
      <c r="B81" s="92">
        <v>2</v>
      </c>
      <c r="C81" s="106" t="s">
        <v>820</v>
      </c>
      <c r="D81" s="106"/>
      <c r="E81" s="758">
        <f>Backup!D91/10^6</f>
        <v>-1.3827044063123923</v>
      </c>
      <c r="F81" s="758">
        <f>Backup!E91/10^6</f>
        <v>-0.10051400000000001</v>
      </c>
      <c r="G81" s="758">
        <f>Backup!F91/10^6</f>
        <v>-0.50178500000000004</v>
      </c>
      <c r="H81" s="758">
        <f>Backup!G91/10^6</f>
        <v>-0.74331000000000003</v>
      </c>
      <c r="I81" s="758">
        <f>Backup!H91/10^6</f>
        <v>-1.0675559313824383</v>
      </c>
      <c r="J81" s="758">
        <f>Backup!I91/10^6</f>
        <v>-1.325447</v>
      </c>
      <c r="K81" s="758">
        <f>Backup!J91/10^6</f>
        <v>-1.2398979999999999</v>
      </c>
      <c r="L81" s="758">
        <f>Backup!K91/10^6</f>
        <v>-1.7211179999999999</v>
      </c>
      <c r="M81" s="758">
        <f>Backup!L91/10^6</f>
        <v>-1.8255319999999999</v>
      </c>
      <c r="N81" s="758">
        <f>Backup!M91/10^6</f>
        <v>-2.0225979999999999</v>
      </c>
      <c r="O81" s="758">
        <f>Backup!N91/10^6</f>
        <v>-1.9340900000000001</v>
      </c>
      <c r="P81" s="758">
        <f>Backup!O91/10^6</f>
        <v>-1.8533630000000001</v>
      </c>
      <c r="Q81" s="820">
        <f>SUM(E81:P81)</f>
        <v>-15.717915337694832</v>
      </c>
    </row>
    <row r="82" spans="2:17">
      <c r="B82" s="92">
        <v>3</v>
      </c>
      <c r="C82" s="106" t="s">
        <v>812</v>
      </c>
      <c r="D82" s="106"/>
      <c r="E82" s="758">
        <f>E75-(E79+E80+E81)</f>
        <v>0.53719032227958685</v>
      </c>
      <c r="F82" s="758">
        <f t="shared" ref="F82:P82" si="52">F75-(F79+F80+F81)</f>
        <v>-0.35538097061481011</v>
      </c>
      <c r="G82" s="758">
        <f t="shared" si="52"/>
        <v>-0.41169848993137315</v>
      </c>
      <c r="H82" s="758">
        <f t="shared" si="52"/>
        <v>-0.47114689915880881</v>
      </c>
      <c r="I82" s="758">
        <f t="shared" si="52"/>
        <v>-0.34750477809388869</v>
      </c>
      <c r="J82" s="758">
        <f t="shared" si="52"/>
        <v>0.14188681772381173</v>
      </c>
      <c r="K82" s="758">
        <f t="shared" si="52"/>
        <v>-5.6663279112081355E-3</v>
      </c>
      <c r="L82" s="758">
        <f t="shared" si="52"/>
        <v>-0.8504290146088147</v>
      </c>
      <c r="M82" s="758">
        <f t="shared" si="52"/>
        <v>-0.62364172451303546</v>
      </c>
      <c r="N82" s="758">
        <f t="shared" si="52"/>
        <v>-0.46820125624147568</v>
      </c>
      <c r="O82" s="758">
        <f t="shared" si="52"/>
        <v>0.10480787277467485</v>
      </c>
      <c r="P82" s="758">
        <f t="shared" si="52"/>
        <v>0.10598421019318849</v>
      </c>
      <c r="Q82" s="820">
        <f>SUM(E82:P82)</f>
        <v>-2.6438002381021528</v>
      </c>
    </row>
    <row r="83" spans="2:17" s="331" customFormat="1">
      <c r="B83" s="93">
        <v>4</v>
      </c>
      <c r="C83" s="32" t="s">
        <v>551</v>
      </c>
      <c r="D83" s="32"/>
      <c r="E83" s="816">
        <f>(E79+E80+E81+E82)</f>
        <v>7.6144869368663155</v>
      </c>
      <c r="F83" s="816">
        <f t="shared" ref="F83:K83" si="53">(F79+F80+F81+F82)</f>
        <v>8.3084385012439981</v>
      </c>
      <c r="G83" s="816">
        <f t="shared" si="53"/>
        <v>7.8047138329116876</v>
      </c>
      <c r="H83" s="816">
        <f t="shared" si="53"/>
        <v>7.485363241724543</v>
      </c>
      <c r="I83" s="816">
        <f t="shared" si="53"/>
        <v>7.3649154699136332</v>
      </c>
      <c r="J83" s="816">
        <f t="shared" si="53"/>
        <v>7.2840400501876452</v>
      </c>
      <c r="K83" s="816">
        <f t="shared" si="53"/>
        <v>7.4404966520254971</v>
      </c>
      <c r="L83" s="816">
        <f>(L79+L80+L81+L82)</f>
        <v>6.7824240787454215</v>
      </c>
      <c r="M83" s="816">
        <f t="shared" ref="M83" si="54">(M79+M80+M81+M82)</f>
        <v>6.5081868105394252</v>
      </c>
      <c r="N83" s="816">
        <f t="shared" ref="N83" si="55">(N79+N80+N81+N82)</f>
        <v>6.6378983402780465</v>
      </c>
      <c r="O83" s="816">
        <f t="shared" ref="O83" si="56">(O79+O80+O81+O82)</f>
        <v>6.3114534752663536</v>
      </c>
      <c r="P83" s="816">
        <f t="shared" ref="P83" si="57">(P79+P80+P81+P82)</f>
        <v>7.505574512627506</v>
      </c>
      <c r="Q83" s="820">
        <f>SUM(E83:P83)</f>
        <v>87.047991902330054</v>
      </c>
    </row>
    <row r="84" spans="2:17" s="331" customFormat="1">
      <c r="B84" s="93">
        <v>5</v>
      </c>
      <c r="C84" s="32" t="s">
        <v>553</v>
      </c>
      <c r="D84" s="32"/>
      <c r="E84" s="758">
        <f t="shared" ref="E84:L84" si="58">E75-E83</f>
        <v>0</v>
      </c>
      <c r="F84" s="758">
        <f t="shared" si="58"/>
        <v>0</v>
      </c>
      <c r="G84" s="758">
        <f t="shared" si="58"/>
        <v>0</v>
      </c>
      <c r="H84" s="758">
        <f t="shared" si="58"/>
        <v>0</v>
      </c>
      <c r="I84" s="758">
        <f t="shared" si="58"/>
        <v>0</v>
      </c>
      <c r="J84" s="758">
        <f t="shared" si="58"/>
        <v>0</v>
      </c>
      <c r="K84" s="758">
        <f t="shared" si="58"/>
        <v>0</v>
      </c>
      <c r="L84" s="758">
        <f t="shared" si="58"/>
        <v>0</v>
      </c>
      <c r="M84" s="758">
        <f t="shared" ref="M84:P84" si="59">M75-M83</f>
        <v>0</v>
      </c>
      <c r="N84" s="758">
        <f t="shared" si="59"/>
        <v>0</v>
      </c>
      <c r="O84" s="758">
        <f t="shared" si="59"/>
        <v>0</v>
      </c>
      <c r="P84" s="758">
        <f t="shared" si="59"/>
        <v>0</v>
      </c>
      <c r="Q84" s="820">
        <f>SUM(E84:P84)</f>
        <v>0</v>
      </c>
    </row>
    <row r="86" spans="2:17">
      <c r="B86" s="182" t="s">
        <v>684</v>
      </c>
      <c r="C86" s="156"/>
      <c r="D86" s="156"/>
      <c r="E86" s="20"/>
      <c r="F86" s="21"/>
      <c r="G86" s="20"/>
      <c r="H86" s="20"/>
      <c r="I86" s="20"/>
      <c r="J86" s="37"/>
      <c r="K86" s="37"/>
      <c r="L86" s="37"/>
    </row>
    <row r="87" spans="2:17">
      <c r="B87" s="182"/>
      <c r="C87" s="156"/>
      <c r="D87" s="156"/>
      <c r="E87" s="20"/>
      <c r="F87" s="21"/>
      <c r="G87" s="20"/>
      <c r="H87" s="20"/>
      <c r="I87" s="20"/>
      <c r="J87" s="37"/>
      <c r="K87" s="37"/>
      <c r="L87" s="37"/>
    </row>
    <row r="88" spans="2:17" ht="28.5">
      <c r="B88" s="289" t="s">
        <v>157</v>
      </c>
      <c r="C88" s="289" t="s">
        <v>49</v>
      </c>
      <c r="D88" s="289" t="s">
        <v>556</v>
      </c>
      <c r="E88" s="412" t="s">
        <v>118</v>
      </c>
      <c r="F88" s="412" t="s">
        <v>119</v>
      </c>
      <c r="G88" s="412" t="s">
        <v>120</v>
      </c>
      <c r="H88" s="412" t="s">
        <v>121</v>
      </c>
      <c r="I88" s="412" t="s">
        <v>122</v>
      </c>
      <c r="J88" s="412" t="s">
        <v>123</v>
      </c>
      <c r="K88" s="412" t="s">
        <v>124</v>
      </c>
      <c r="L88" s="412" t="s">
        <v>125</v>
      </c>
      <c r="M88" s="412" t="s">
        <v>126</v>
      </c>
      <c r="N88" s="412" t="s">
        <v>127</v>
      </c>
      <c r="O88" s="412" t="s">
        <v>128</v>
      </c>
      <c r="P88" s="412" t="s">
        <v>129</v>
      </c>
      <c r="Q88" s="412" t="s">
        <v>115</v>
      </c>
    </row>
    <row r="89" spans="2:17">
      <c r="B89" s="162"/>
      <c r="C89" s="162" t="s">
        <v>821</v>
      </c>
      <c r="D89" s="162"/>
      <c r="E89" s="330">
        <v>30</v>
      </c>
      <c r="F89" s="330">
        <v>31</v>
      </c>
      <c r="G89" s="330">
        <v>30</v>
      </c>
      <c r="H89" s="330">
        <v>31</v>
      </c>
      <c r="I89" s="330">
        <v>31</v>
      </c>
      <c r="J89" s="330">
        <v>30</v>
      </c>
      <c r="K89" s="330">
        <v>31</v>
      </c>
      <c r="L89" s="330">
        <v>30</v>
      </c>
      <c r="M89" s="330">
        <v>31</v>
      </c>
      <c r="N89" s="330">
        <v>31</v>
      </c>
      <c r="O89" s="330">
        <v>28</v>
      </c>
      <c r="P89" s="330">
        <v>31</v>
      </c>
      <c r="Q89" s="330"/>
    </row>
    <row r="90" spans="2:17">
      <c r="B90" s="162" t="s">
        <v>425</v>
      </c>
      <c r="C90" s="162" t="s">
        <v>549</v>
      </c>
      <c r="D90" s="162"/>
      <c r="E90" s="330"/>
      <c r="F90" s="330"/>
      <c r="G90" s="330"/>
      <c r="H90" s="330"/>
      <c r="I90" s="330"/>
      <c r="J90" s="330"/>
      <c r="K90" s="542"/>
      <c r="L90" s="330"/>
      <c r="M90" s="330"/>
      <c r="N90" s="330"/>
      <c r="O90" s="330"/>
      <c r="P90" s="330"/>
      <c r="Q90" s="330"/>
    </row>
    <row r="91" spans="2:17">
      <c r="B91" s="92">
        <v>1</v>
      </c>
      <c r="C91" s="284" t="s">
        <v>496</v>
      </c>
      <c r="D91" s="333"/>
      <c r="E91" s="758">
        <f>'F1'!C127</f>
        <v>7.6606261870000001</v>
      </c>
      <c r="F91" s="758">
        <f>'F1'!D127</f>
        <v>8.3305644389999998</v>
      </c>
      <c r="G91" s="758">
        <f>'F1'!E127</f>
        <v>8.111245267000001</v>
      </c>
      <c r="H91" s="758">
        <f>'F1'!F127</f>
        <v>8.3176993467999996</v>
      </c>
      <c r="I91" s="758">
        <f>'F1'!G127</f>
        <v>7.9276983204999985</v>
      </c>
      <c r="J91" s="758">
        <f>'F1'!H127</f>
        <v>7.8578485485999989</v>
      </c>
      <c r="K91" s="758">
        <f>'F1'!I127</f>
        <v>7.9893204405000002</v>
      </c>
      <c r="L91" s="758">
        <f>'F1'!J127</f>
        <v>7.3879702280000004</v>
      </c>
      <c r="M91" s="758">
        <f>'F1'!K127</f>
        <v>7.1278613122000003</v>
      </c>
      <c r="N91" s="758">
        <f>'F1'!L127</f>
        <v>7.2144717513000014</v>
      </c>
      <c r="O91" s="758">
        <f>'F1'!M127</f>
        <v>6.8847136495999983</v>
      </c>
      <c r="P91" s="758">
        <f>'F1'!N127</f>
        <v>8.0312847688999991</v>
      </c>
      <c r="Q91" s="816">
        <f>SUM(E91:P91)</f>
        <v>92.84130425939999</v>
      </c>
    </row>
    <row r="92" spans="2:17">
      <c r="B92" s="92">
        <v>2</v>
      </c>
      <c r="C92" s="284" t="s">
        <v>807</v>
      </c>
      <c r="D92" s="333"/>
      <c r="E92" s="758">
        <f>E93-E91</f>
        <v>7.0387891946103842E-2</v>
      </c>
      <c r="F92" s="758">
        <f t="shared" ref="F92" si="60">F93-F91</f>
        <v>7.6543464629230229E-2</v>
      </c>
      <c r="G92" s="758">
        <f t="shared" ref="G92" si="61">G93-G91</f>
        <v>7.4528301142120057E-2</v>
      </c>
      <c r="H92" s="758">
        <f t="shared" ref="H92" si="62">H93-H91</f>
        <v>7.6425256705027422E-2</v>
      </c>
      <c r="I92" s="758">
        <f t="shared" ref="I92" si="63">I93-I91</f>
        <v>7.2841822475505857E-2</v>
      </c>
      <c r="J92" s="758">
        <f t="shared" ref="J92" si="64">J93-J91</f>
        <v>7.2200024001471519E-2</v>
      </c>
      <c r="K92" s="758">
        <f t="shared" ref="K92" si="65">K93-K91</f>
        <v>7.3408023072971673E-2</v>
      </c>
      <c r="L92" s="758">
        <f t="shared" ref="L92" si="66">L93-L91</f>
        <v>6.788265572753982E-2</v>
      </c>
      <c r="M92" s="758">
        <f t="shared" ref="M92" si="67">M93-M91</f>
        <v>6.5492705113499916E-2</v>
      </c>
      <c r="N92" s="758">
        <f t="shared" ref="N92" si="68">N93-N91</f>
        <v>6.6288505101642414E-2</v>
      </c>
      <c r="O92" s="758">
        <f t="shared" ref="O92" si="69">O93-O91</f>
        <v>6.3258599051637887E-2</v>
      </c>
      <c r="P92" s="758">
        <f t="shared" ref="P92" si="70">P93-P91</f>
        <v>7.3793602598836827E-2</v>
      </c>
      <c r="Q92" s="816">
        <f t="shared" ref="Q92:Q93" si="71">SUM(E92:P92)</f>
        <v>0.85305085156558746</v>
      </c>
    </row>
    <row r="93" spans="2:17">
      <c r="B93" s="92">
        <v>3</v>
      </c>
      <c r="C93" s="284" t="s">
        <v>800</v>
      </c>
      <c r="D93" s="333"/>
      <c r="E93" s="758">
        <f>E91/(1-'F1.3'!$J$31)</f>
        <v>7.7310140789461039</v>
      </c>
      <c r="F93" s="758">
        <f>F91/(1-'F1.3'!$J$31)</f>
        <v>8.40710790362923</v>
      </c>
      <c r="G93" s="758">
        <f>G91/(1-'F1.3'!$J$31)</f>
        <v>8.1857735681421211</v>
      </c>
      <c r="H93" s="758">
        <f>H91/(1-'F1.3'!$J$31)</f>
        <v>8.394124603505027</v>
      </c>
      <c r="I93" s="758">
        <f>I91/(1-'F1.3'!$J$31)</f>
        <v>8.0005401429755043</v>
      </c>
      <c r="J93" s="758">
        <f>J91/(1-'F1.3'!$J$31)</f>
        <v>7.9300485726014704</v>
      </c>
      <c r="K93" s="758">
        <f>K91/(1-'F1.3'!$J$31)</f>
        <v>8.0627284635729719</v>
      </c>
      <c r="L93" s="758">
        <f>L91/(1-'F1.3'!$J$31)</f>
        <v>7.4558528837275402</v>
      </c>
      <c r="M93" s="758">
        <f>M91/(1-'F1.3'!$J$31)</f>
        <v>7.1933540173135002</v>
      </c>
      <c r="N93" s="758">
        <f>N91/(1-'F1.3'!$J$31)</f>
        <v>7.2807602564016438</v>
      </c>
      <c r="O93" s="758">
        <f>O91/(1-'F1.3'!$J$31)</f>
        <v>6.9479722486516362</v>
      </c>
      <c r="P93" s="758">
        <f>P91/(1-'F1.3'!$J$31)</f>
        <v>8.1050783714988359</v>
      </c>
      <c r="Q93" s="816">
        <f t="shared" si="71"/>
        <v>93.694355110965589</v>
      </c>
    </row>
    <row r="94" spans="2:17">
      <c r="B94" s="92">
        <v>4</v>
      </c>
      <c r="C94" s="284" t="s">
        <v>801</v>
      </c>
      <c r="D94" s="333"/>
      <c r="E94" s="817">
        <f>+ASSUM!F58</f>
        <v>3.9199999999999999E-2</v>
      </c>
      <c r="F94" s="817">
        <f>+E94</f>
        <v>3.9199999999999999E-2</v>
      </c>
      <c r="G94" s="817">
        <f t="shared" ref="G94:P94" si="72">+F94</f>
        <v>3.9199999999999999E-2</v>
      </c>
      <c r="H94" s="817">
        <f t="shared" si="72"/>
        <v>3.9199999999999999E-2</v>
      </c>
      <c r="I94" s="817">
        <f t="shared" si="72"/>
        <v>3.9199999999999999E-2</v>
      </c>
      <c r="J94" s="817">
        <f t="shared" si="72"/>
        <v>3.9199999999999999E-2</v>
      </c>
      <c r="K94" s="817">
        <f t="shared" si="72"/>
        <v>3.9199999999999999E-2</v>
      </c>
      <c r="L94" s="817">
        <f t="shared" si="72"/>
        <v>3.9199999999999999E-2</v>
      </c>
      <c r="M94" s="817">
        <f t="shared" si="72"/>
        <v>3.9199999999999999E-2</v>
      </c>
      <c r="N94" s="817">
        <f t="shared" si="72"/>
        <v>3.9199999999999999E-2</v>
      </c>
      <c r="O94" s="817">
        <f t="shared" si="72"/>
        <v>3.9199999999999999E-2</v>
      </c>
      <c r="P94" s="817">
        <f t="shared" si="72"/>
        <v>3.9199999999999999E-2</v>
      </c>
      <c r="Q94" s="818">
        <f>(Q95-Q93)/Q95</f>
        <v>3.9200000000000054E-2</v>
      </c>
    </row>
    <row r="95" spans="2:17">
      <c r="B95" s="93">
        <v>5</v>
      </c>
      <c r="C95" s="162" t="s">
        <v>802</v>
      </c>
      <c r="D95" s="824"/>
      <c r="E95" s="816">
        <f>E93/(1-E94)</f>
        <v>8.0464343036491499</v>
      </c>
      <c r="F95" s="816">
        <f t="shared" ref="F95:P95" si="73">F93/(1-F94)</f>
        <v>8.7501123060254269</v>
      </c>
      <c r="G95" s="816">
        <f t="shared" si="73"/>
        <v>8.5197476770838065</v>
      </c>
      <c r="H95" s="816">
        <f t="shared" si="73"/>
        <v>8.7365992959044831</v>
      </c>
      <c r="I95" s="816">
        <f t="shared" si="73"/>
        <v>8.3269568515565204</v>
      </c>
      <c r="J95" s="816">
        <f t="shared" si="73"/>
        <v>8.2535892720664759</v>
      </c>
      <c r="K95" s="816">
        <f t="shared" si="73"/>
        <v>8.3916824142100044</v>
      </c>
      <c r="L95" s="816">
        <f t="shared" si="73"/>
        <v>7.7600467149537264</v>
      </c>
      <c r="M95" s="816">
        <f t="shared" si="73"/>
        <v>7.4868380696435262</v>
      </c>
      <c r="N95" s="816">
        <f t="shared" si="73"/>
        <v>7.5778104250641594</v>
      </c>
      <c r="O95" s="816">
        <f t="shared" si="73"/>
        <v>7.2314448882718949</v>
      </c>
      <c r="P95" s="816">
        <f t="shared" si="73"/>
        <v>8.4357601701694804</v>
      </c>
      <c r="Q95" s="816">
        <f>SUM(E95:P95)</f>
        <v>97.517022388598662</v>
      </c>
    </row>
    <row r="96" spans="2:17">
      <c r="B96" s="92"/>
      <c r="C96" s="284"/>
      <c r="D96" s="284"/>
      <c r="E96" s="287"/>
      <c r="F96" s="29"/>
      <c r="G96" s="29"/>
      <c r="H96" s="29"/>
      <c r="I96" s="29"/>
      <c r="J96" s="29"/>
      <c r="K96" s="29"/>
      <c r="L96" s="29"/>
      <c r="M96" s="29"/>
      <c r="N96" s="29"/>
      <c r="O96" s="29"/>
      <c r="P96" s="29"/>
      <c r="Q96" s="29"/>
    </row>
    <row r="97" spans="2:17">
      <c r="B97" s="162" t="s">
        <v>550</v>
      </c>
      <c r="C97" s="288" t="s">
        <v>558</v>
      </c>
      <c r="D97" s="288"/>
      <c r="E97" s="287"/>
      <c r="F97" s="29"/>
      <c r="G97" s="29"/>
      <c r="H97" s="29"/>
      <c r="I97" s="29"/>
      <c r="J97" s="29"/>
      <c r="K97" s="29"/>
      <c r="L97" s="29"/>
      <c r="M97" s="29"/>
      <c r="N97" s="29"/>
      <c r="O97" s="29"/>
      <c r="P97" s="29"/>
      <c r="Q97" s="29"/>
    </row>
    <row r="98" spans="2:17">
      <c r="B98" s="92">
        <v>1</v>
      </c>
      <c r="C98" s="288" t="s">
        <v>431</v>
      </c>
      <c r="D98" s="106"/>
      <c r="E98" s="456"/>
      <c r="F98" s="456"/>
      <c r="G98" s="456"/>
      <c r="H98" s="29"/>
      <c r="I98" s="29"/>
      <c r="J98" s="29"/>
      <c r="K98" s="29"/>
      <c r="L98" s="29"/>
      <c r="M98" s="29"/>
      <c r="N98" s="29"/>
      <c r="O98" s="29"/>
      <c r="P98" s="29"/>
      <c r="Q98" s="464"/>
    </row>
    <row r="99" spans="2:17">
      <c r="B99" s="92">
        <v>1.1000000000000001</v>
      </c>
      <c r="C99" s="106" t="s">
        <v>1010</v>
      </c>
      <c r="D99" s="993">
        <f>K137</f>
        <v>3.9272803791570006</v>
      </c>
      <c r="E99" s="819">
        <f>85%*(10000*24*E89)/10^6</f>
        <v>6.12</v>
      </c>
      <c r="F99" s="819">
        <f>85%*(10000*24*F89)/10^6</f>
        <v>6.3239999999999998</v>
      </c>
      <c r="G99" s="819">
        <f t="shared" ref="G99:P99" si="74">85%*(10000*24*G89)/10^6</f>
        <v>6.12</v>
      </c>
      <c r="H99" s="819">
        <f t="shared" si="74"/>
        <v>6.3239999999999998</v>
      </c>
      <c r="I99" s="819">
        <f t="shared" si="74"/>
        <v>6.3239999999999998</v>
      </c>
      <c r="J99" s="819">
        <f t="shared" si="74"/>
        <v>6.12</v>
      </c>
      <c r="K99" s="819">
        <f t="shared" si="74"/>
        <v>6.3239999999999998</v>
      </c>
      <c r="L99" s="819">
        <f t="shared" si="74"/>
        <v>6.12</v>
      </c>
      <c r="M99" s="819">
        <f t="shared" si="74"/>
        <v>6.3239999999999998</v>
      </c>
      <c r="N99" s="819">
        <f t="shared" si="74"/>
        <v>6.3239999999999998</v>
      </c>
      <c r="O99" s="819">
        <f t="shared" si="74"/>
        <v>5.7119999999999997</v>
      </c>
      <c r="P99" s="819">
        <f t="shared" si="74"/>
        <v>6.3239999999999998</v>
      </c>
      <c r="Q99" s="820">
        <f t="shared" ref="Q99:Q100" si="75">SUM(E99:P99)</f>
        <v>74.45999999999998</v>
      </c>
    </row>
    <row r="100" spans="2:17">
      <c r="B100" s="92">
        <v>1.2</v>
      </c>
      <c r="C100" s="106" t="s">
        <v>813</v>
      </c>
      <c r="D100" s="993">
        <f>K138</f>
        <v>4.0852909537600004</v>
      </c>
      <c r="E100" s="819">
        <f>85%*(10000*15*(E89-8))/10^6</f>
        <v>2.8050000000000002</v>
      </c>
      <c r="F100" s="819">
        <f t="shared" ref="F100:P100" si="76">85%*(10000*15*(F89-8))/10^6</f>
        <v>2.9325000000000001</v>
      </c>
      <c r="G100" s="819">
        <f t="shared" si="76"/>
        <v>2.8050000000000002</v>
      </c>
      <c r="H100" s="819">
        <f t="shared" si="76"/>
        <v>2.9325000000000001</v>
      </c>
      <c r="I100" s="819">
        <f t="shared" si="76"/>
        <v>2.9325000000000001</v>
      </c>
      <c r="J100" s="819">
        <f t="shared" si="76"/>
        <v>2.8050000000000002</v>
      </c>
      <c r="K100" s="819">
        <f t="shared" si="76"/>
        <v>2.9325000000000001</v>
      </c>
      <c r="L100" s="819">
        <f t="shared" si="76"/>
        <v>2.8050000000000002</v>
      </c>
      <c r="M100" s="819">
        <f t="shared" si="76"/>
        <v>2.9325000000000001</v>
      </c>
      <c r="N100" s="819">
        <f t="shared" si="76"/>
        <v>2.9325000000000001</v>
      </c>
      <c r="O100" s="819">
        <f t="shared" si="76"/>
        <v>2.5499999999999998</v>
      </c>
      <c r="P100" s="819">
        <f t="shared" si="76"/>
        <v>2.9325000000000001</v>
      </c>
      <c r="Q100" s="820">
        <f t="shared" si="75"/>
        <v>34.297500000000007</v>
      </c>
    </row>
    <row r="101" spans="2:17">
      <c r="B101" s="92">
        <v>2</v>
      </c>
      <c r="C101" s="106" t="s">
        <v>820</v>
      </c>
      <c r="D101" s="106"/>
      <c r="E101" s="819">
        <f>-(E99+E100-E95)</f>
        <v>-0.8785656963508508</v>
      </c>
      <c r="F101" s="819">
        <f>-(F99+F100-F95)</f>
        <v>-0.50638769397457217</v>
      </c>
      <c r="G101" s="819">
        <f t="shared" ref="G101:P101" si="77">-(G99+G100-G95)</f>
        <v>-0.40525232291619417</v>
      </c>
      <c r="H101" s="819">
        <f t="shared" si="77"/>
        <v>-0.51990070409551592</v>
      </c>
      <c r="I101" s="819">
        <f t="shared" si="77"/>
        <v>-0.92954314844347863</v>
      </c>
      <c r="J101" s="819">
        <f t="shared" si="77"/>
        <v>-0.67141072793352485</v>
      </c>
      <c r="K101" s="819">
        <f t="shared" si="77"/>
        <v>-0.86481758578999468</v>
      </c>
      <c r="L101" s="819">
        <f t="shared" si="77"/>
        <v>-1.1649532850462743</v>
      </c>
      <c r="M101" s="819">
        <f t="shared" si="77"/>
        <v>-1.7696619303564729</v>
      </c>
      <c r="N101" s="819">
        <f t="shared" si="77"/>
        <v>-1.6786895749358397</v>
      </c>
      <c r="O101" s="819">
        <f t="shared" si="77"/>
        <v>-1.0305551117281055</v>
      </c>
      <c r="P101" s="819">
        <f t="shared" si="77"/>
        <v>-0.82073982983051863</v>
      </c>
      <c r="Q101" s="820">
        <f>SUM(E101:P101)</f>
        <v>-11.240477611401342</v>
      </c>
    </row>
    <row r="102" spans="2:17">
      <c r="B102" s="92">
        <v>3</v>
      </c>
      <c r="C102" s="106" t="s">
        <v>812</v>
      </c>
      <c r="D102" s="106"/>
      <c r="E102" s="758">
        <v>0</v>
      </c>
      <c r="F102" s="758">
        <v>0</v>
      </c>
      <c r="G102" s="758">
        <v>0</v>
      </c>
      <c r="H102" s="758">
        <v>0</v>
      </c>
      <c r="I102" s="758">
        <v>0</v>
      </c>
      <c r="J102" s="758">
        <v>0</v>
      </c>
      <c r="K102" s="758">
        <v>0</v>
      </c>
      <c r="L102" s="758">
        <v>0</v>
      </c>
      <c r="M102" s="758">
        <v>0</v>
      </c>
      <c r="N102" s="758">
        <v>0</v>
      </c>
      <c r="O102" s="758">
        <v>0</v>
      </c>
      <c r="P102" s="758">
        <v>0</v>
      </c>
      <c r="Q102" s="820">
        <f>SUM(E102:P102)</f>
        <v>0</v>
      </c>
    </row>
    <row r="103" spans="2:17">
      <c r="B103" s="93">
        <v>4</v>
      </c>
      <c r="C103" s="32" t="s">
        <v>551</v>
      </c>
      <c r="D103" s="32"/>
      <c r="E103" s="816">
        <f>(E99+E100+E101+E102)</f>
        <v>8.0464343036491499</v>
      </c>
      <c r="F103" s="816">
        <f t="shared" ref="F103:P103" si="78">(F99+F100+F101+F102)</f>
        <v>8.7501123060254269</v>
      </c>
      <c r="G103" s="816">
        <f t="shared" si="78"/>
        <v>8.5197476770838065</v>
      </c>
      <c r="H103" s="816">
        <f t="shared" si="78"/>
        <v>8.7365992959044831</v>
      </c>
      <c r="I103" s="816">
        <f t="shared" si="78"/>
        <v>8.3269568515565204</v>
      </c>
      <c r="J103" s="816">
        <f t="shared" si="78"/>
        <v>8.2535892720664759</v>
      </c>
      <c r="K103" s="816">
        <f t="shared" si="78"/>
        <v>8.3916824142100044</v>
      </c>
      <c r="L103" s="816">
        <f t="shared" si="78"/>
        <v>7.7600467149537264</v>
      </c>
      <c r="M103" s="816">
        <f t="shared" si="78"/>
        <v>7.4868380696435262</v>
      </c>
      <c r="N103" s="816">
        <f t="shared" si="78"/>
        <v>7.5778104250641594</v>
      </c>
      <c r="O103" s="816">
        <f t="shared" si="78"/>
        <v>7.2314448882718949</v>
      </c>
      <c r="P103" s="816">
        <f t="shared" si="78"/>
        <v>8.4357601701694804</v>
      </c>
      <c r="Q103" s="820">
        <f>SUM(E103:P103)</f>
        <v>97.517022388598662</v>
      </c>
    </row>
    <row r="104" spans="2:17">
      <c r="B104" s="93">
        <v>5</v>
      </c>
      <c r="C104" s="32" t="s">
        <v>553</v>
      </c>
      <c r="D104" s="32"/>
      <c r="E104" s="758">
        <f t="shared" ref="E104:L104" si="79">E95-E103</f>
        <v>0</v>
      </c>
      <c r="F104" s="758">
        <f t="shared" si="79"/>
        <v>0</v>
      </c>
      <c r="G104" s="758">
        <f t="shared" si="79"/>
        <v>0</v>
      </c>
      <c r="H104" s="758">
        <f t="shared" si="79"/>
        <v>0</v>
      </c>
      <c r="I104" s="758">
        <f t="shared" si="79"/>
        <v>0</v>
      </c>
      <c r="J104" s="758">
        <f t="shared" si="79"/>
        <v>0</v>
      </c>
      <c r="K104" s="758">
        <f t="shared" si="79"/>
        <v>0</v>
      </c>
      <c r="L104" s="758">
        <f t="shared" si="79"/>
        <v>0</v>
      </c>
      <c r="M104" s="758">
        <f t="shared" ref="M104" si="80">M95-M103</f>
        <v>0</v>
      </c>
      <c r="N104" s="758">
        <f t="shared" ref="N104" si="81">N95-N103</f>
        <v>0</v>
      </c>
      <c r="O104" s="758">
        <f t="shared" ref="O104" si="82">O95-O103</f>
        <v>0</v>
      </c>
      <c r="P104" s="758">
        <f t="shared" ref="P104" si="83">P95-P103</f>
        <v>0</v>
      </c>
      <c r="Q104" s="820">
        <f>SUM(E104:P104)</f>
        <v>0</v>
      </c>
    </row>
    <row r="106" spans="2:17">
      <c r="B106" s="182" t="s">
        <v>685</v>
      </c>
      <c r="C106" s="156"/>
      <c r="D106" s="156"/>
      <c r="E106" s="20"/>
      <c r="F106" s="21"/>
      <c r="G106" s="20"/>
      <c r="H106" s="20"/>
      <c r="I106" s="20"/>
      <c r="J106" s="37"/>
      <c r="K106" s="37"/>
      <c r="L106" s="37"/>
    </row>
    <row r="107" spans="2:17">
      <c r="B107" s="182"/>
      <c r="C107" s="156"/>
      <c r="D107" s="156"/>
      <c r="E107" s="20"/>
      <c r="F107" s="21"/>
      <c r="G107" s="20"/>
      <c r="H107" s="20"/>
      <c r="I107" s="20"/>
      <c r="J107" s="37"/>
      <c r="K107" s="37"/>
      <c r="L107" s="37"/>
    </row>
    <row r="108" spans="2:17" ht="28.5">
      <c r="B108" s="289" t="s">
        <v>157</v>
      </c>
      <c r="C108" s="289" t="s">
        <v>49</v>
      </c>
      <c r="D108" s="289" t="s">
        <v>556</v>
      </c>
      <c r="E108" s="412" t="s">
        <v>118</v>
      </c>
      <c r="F108" s="412" t="s">
        <v>119</v>
      </c>
      <c r="G108" s="412" t="s">
        <v>120</v>
      </c>
      <c r="H108" s="412" t="s">
        <v>121</v>
      </c>
      <c r="I108" s="412" t="s">
        <v>122</v>
      </c>
      <c r="J108" s="412" t="s">
        <v>123</v>
      </c>
      <c r="K108" s="412" t="s">
        <v>124</v>
      </c>
      <c r="L108" s="412" t="s">
        <v>125</v>
      </c>
      <c r="M108" s="412" t="s">
        <v>126</v>
      </c>
      <c r="N108" s="412" t="s">
        <v>127</v>
      </c>
      <c r="O108" s="412" t="s">
        <v>128</v>
      </c>
      <c r="P108" s="412" t="s">
        <v>129</v>
      </c>
      <c r="Q108" s="412" t="s">
        <v>115</v>
      </c>
    </row>
    <row r="109" spans="2:17">
      <c r="B109" s="162"/>
      <c r="C109" s="162" t="s">
        <v>821</v>
      </c>
      <c r="D109" s="162"/>
      <c r="E109" s="330">
        <v>30</v>
      </c>
      <c r="F109" s="330">
        <v>31</v>
      </c>
      <c r="G109" s="330">
        <v>30</v>
      </c>
      <c r="H109" s="330">
        <v>31</v>
      </c>
      <c r="I109" s="330">
        <v>31</v>
      </c>
      <c r="J109" s="330">
        <v>30</v>
      </c>
      <c r="K109" s="330">
        <v>31</v>
      </c>
      <c r="L109" s="330">
        <v>30</v>
      </c>
      <c r="M109" s="330">
        <v>31</v>
      </c>
      <c r="N109" s="330">
        <v>31</v>
      </c>
      <c r="O109" s="330">
        <v>29</v>
      </c>
      <c r="P109" s="330">
        <v>31</v>
      </c>
      <c r="Q109" s="330"/>
    </row>
    <row r="110" spans="2:17">
      <c r="B110" s="162" t="s">
        <v>425</v>
      </c>
      <c r="C110" s="162" t="s">
        <v>549</v>
      </c>
      <c r="D110" s="162"/>
      <c r="E110" s="330"/>
      <c r="F110" s="330"/>
      <c r="G110" s="330"/>
      <c r="H110" s="330"/>
      <c r="I110" s="330"/>
      <c r="J110" s="330"/>
      <c r="K110" s="330"/>
      <c r="L110" s="330"/>
      <c r="M110" s="330"/>
      <c r="N110" s="330"/>
      <c r="O110" s="330"/>
      <c r="P110" s="330"/>
      <c r="Q110" s="330"/>
    </row>
    <row r="111" spans="2:17">
      <c r="B111" s="92">
        <v>1</v>
      </c>
      <c r="C111" s="284" t="s">
        <v>496</v>
      </c>
      <c r="D111" s="333"/>
      <c r="E111" s="758">
        <f>'F1'!C142</f>
        <v>8.2372324488699995</v>
      </c>
      <c r="F111" s="758">
        <f>'F1'!D142</f>
        <v>8.91387008339</v>
      </c>
      <c r="G111" s="758">
        <f>'F1'!E142</f>
        <v>8.1873577196700005</v>
      </c>
      <c r="H111" s="758">
        <f>'F1'!F142</f>
        <v>8.3958763402679999</v>
      </c>
      <c r="I111" s="758">
        <f>'F1'!G142</f>
        <v>8.0019753037049988</v>
      </c>
      <c r="J111" s="758">
        <f>'F1'!H142</f>
        <v>7.9314270340859991</v>
      </c>
      <c r="K111" s="758">
        <f>'F1'!I142</f>
        <v>8.064213644905001</v>
      </c>
      <c r="L111" s="758">
        <f>'F1'!J142</f>
        <v>7.4568499302799989</v>
      </c>
      <c r="M111" s="758">
        <f>'F1'!K142</f>
        <v>7.1941399253220002</v>
      </c>
      <c r="N111" s="758">
        <f>'F1'!L142</f>
        <v>7.2816164688130005</v>
      </c>
      <c r="O111" s="758">
        <f>'F1'!M142</f>
        <v>6.9485607860959986</v>
      </c>
      <c r="P111" s="758">
        <f>'F1'!N142</f>
        <v>8.106597616589001</v>
      </c>
      <c r="Q111" s="816">
        <f>SUM(E111:P111)</f>
        <v>94.719717301993995</v>
      </c>
    </row>
    <row r="112" spans="2:17">
      <c r="B112" s="92">
        <v>2</v>
      </c>
      <c r="C112" s="284" t="s">
        <v>807</v>
      </c>
      <c r="D112" s="333"/>
      <c r="E112" s="758">
        <f>E113-E111</f>
        <v>7.5685905224029071E-2</v>
      </c>
      <c r="F112" s="758">
        <f t="shared" ref="F112" si="84">F113-F111</f>
        <v>8.1903033633986766E-2</v>
      </c>
      <c r="G112" s="758">
        <f t="shared" ref="G112" si="85">G113-G111</f>
        <v>7.5227642809956308E-2</v>
      </c>
      <c r="H112" s="758">
        <f t="shared" ref="H112" si="86">H113-H111</f>
        <v>7.7143567928493084E-2</v>
      </c>
      <c r="I112" s="758">
        <f t="shared" ref="I112" si="87">I113-I111</f>
        <v>7.3524299356675371E-2</v>
      </c>
      <c r="J112" s="758">
        <f t="shared" ref="J112" si="88">J113-J111</f>
        <v>7.2876082897902705E-2</v>
      </c>
      <c r="K112" s="758">
        <f t="shared" ref="K112" si="89">K113-K111</f>
        <v>7.4096161960117257E-2</v>
      </c>
      <c r="L112" s="758">
        <f t="shared" ref="L112" si="90">L113-L111</f>
        <v>6.8515540941230135E-2</v>
      </c>
      <c r="M112" s="758">
        <f t="shared" ref="M112" si="91">M113-M111</f>
        <v>6.6101690821049885E-2</v>
      </c>
      <c r="N112" s="758">
        <f t="shared" ref="N112" si="92">N113-N111</f>
        <v>6.6905448809073675E-2</v>
      </c>
      <c r="O112" s="758">
        <f t="shared" ref="O112" si="93">O113-O111</f>
        <v>6.3845243698569476E-2</v>
      </c>
      <c r="P112" s="758">
        <f t="shared" ref="P112" si="94">P113-P111</f>
        <v>7.4485597281240601E-2</v>
      </c>
      <c r="Q112" s="816">
        <f t="shared" ref="Q112:Q113" si="95">SUM(E112:P112)</f>
        <v>0.87031021536232434</v>
      </c>
    </row>
    <row r="113" spans="2:17">
      <c r="B113" s="92">
        <v>3</v>
      </c>
      <c r="C113" s="284" t="s">
        <v>800</v>
      </c>
      <c r="D113" s="333"/>
      <c r="E113" s="758">
        <f>E111/(1-'F1.3'!$J$37)</f>
        <v>8.3129183540940286</v>
      </c>
      <c r="F113" s="758">
        <f>F111/(1-'F1.3'!$J$37)</f>
        <v>8.9957731170239867</v>
      </c>
      <c r="G113" s="758">
        <f>G111/(1-'F1.3'!$J$37)</f>
        <v>8.2625853624799568</v>
      </c>
      <c r="H113" s="758">
        <f>H111/(1-'F1.3'!$J$37)</f>
        <v>8.473019908196493</v>
      </c>
      <c r="I113" s="758">
        <f>I111/(1-'F1.3'!$J$37)</f>
        <v>8.0754996030616741</v>
      </c>
      <c r="J113" s="758">
        <f>J111/(1-'F1.3'!$J$37)</f>
        <v>8.0043031169839018</v>
      </c>
      <c r="K113" s="758">
        <f>K111/(1-'F1.3'!$J$37)</f>
        <v>8.1383098068651183</v>
      </c>
      <c r="L113" s="758">
        <f>L111/(1-'F1.3'!$J$37)</f>
        <v>7.525365471221229</v>
      </c>
      <c r="M113" s="758">
        <f>M111/(1-'F1.3'!$J$37)</f>
        <v>7.2602416161430501</v>
      </c>
      <c r="N113" s="758">
        <f>N111/(1-'F1.3'!$J$37)</f>
        <v>7.3485219176220742</v>
      </c>
      <c r="O113" s="758">
        <f>O111/(1-'F1.3'!$J$37)</f>
        <v>7.0124060297945681</v>
      </c>
      <c r="P113" s="758">
        <f>P111/(1-'F1.3'!$J$37)</f>
        <v>8.1810832138702416</v>
      </c>
      <c r="Q113" s="816">
        <f t="shared" si="95"/>
        <v>95.590027517356319</v>
      </c>
    </row>
    <row r="114" spans="2:17">
      <c r="B114" s="92">
        <v>4</v>
      </c>
      <c r="C114" s="284" t="s">
        <v>801</v>
      </c>
      <c r="D114" s="333"/>
      <c r="E114" s="817">
        <f>+ASSUM!G58</f>
        <v>3.9199999999999999E-2</v>
      </c>
      <c r="F114" s="817">
        <f>+E114</f>
        <v>3.9199999999999999E-2</v>
      </c>
      <c r="G114" s="817">
        <f t="shared" ref="G114:P114" si="96">+F114</f>
        <v>3.9199999999999999E-2</v>
      </c>
      <c r="H114" s="817">
        <f t="shared" si="96"/>
        <v>3.9199999999999999E-2</v>
      </c>
      <c r="I114" s="817">
        <f t="shared" si="96"/>
        <v>3.9199999999999999E-2</v>
      </c>
      <c r="J114" s="817">
        <f t="shared" si="96"/>
        <v>3.9199999999999999E-2</v>
      </c>
      <c r="K114" s="817">
        <f t="shared" si="96"/>
        <v>3.9199999999999999E-2</v>
      </c>
      <c r="L114" s="817">
        <f t="shared" si="96"/>
        <v>3.9199999999999999E-2</v>
      </c>
      <c r="M114" s="817">
        <f t="shared" si="96"/>
        <v>3.9199999999999999E-2</v>
      </c>
      <c r="N114" s="817">
        <f t="shared" si="96"/>
        <v>3.9199999999999999E-2</v>
      </c>
      <c r="O114" s="817">
        <f t="shared" si="96"/>
        <v>3.9199999999999999E-2</v>
      </c>
      <c r="P114" s="817">
        <f t="shared" si="96"/>
        <v>3.9199999999999999E-2</v>
      </c>
      <c r="Q114" s="818">
        <f>(Q115-Q113)/Q115</f>
        <v>3.9200000000000131E-2</v>
      </c>
    </row>
    <row r="115" spans="2:17">
      <c r="B115" s="93">
        <v>5</v>
      </c>
      <c r="C115" s="162" t="s">
        <v>802</v>
      </c>
      <c r="D115" s="824"/>
      <c r="E115" s="816">
        <f>E113/(1-E114)</f>
        <v>8.6520798856099379</v>
      </c>
      <c r="F115" s="816">
        <f t="shared" ref="F115" si="97">F113/(1-F114)</f>
        <v>9.3627946680099772</v>
      </c>
      <c r="G115" s="816">
        <f t="shared" ref="G115" si="98">G113/(1-G114)</f>
        <v>8.5996933414654002</v>
      </c>
      <c r="H115" s="816">
        <f t="shared" ref="H115" si="99">H113/(1-H114)</f>
        <v>8.8187134764742847</v>
      </c>
      <c r="I115" s="816">
        <f t="shared" ref="I115" si="100">I113/(1-I114)</f>
        <v>8.404974607682842</v>
      </c>
      <c r="J115" s="816">
        <f t="shared" ref="J115" si="101">J113/(1-J114)</f>
        <v>8.3308733523978997</v>
      </c>
      <c r="K115" s="816">
        <f t="shared" ref="K115" si="102">K113/(1-K114)</f>
        <v>8.4703474259628635</v>
      </c>
      <c r="L115" s="816">
        <f t="shared" ref="L115" si="103">L113/(1-L114)</f>
        <v>7.8323953697140185</v>
      </c>
      <c r="M115" s="816">
        <f t="shared" ref="M115" si="104">M113/(1-M114)</f>
        <v>7.5564546379507185</v>
      </c>
      <c r="N115" s="816">
        <f t="shared" ref="N115" si="105">N113/(1-N114)</f>
        <v>7.6483367169255558</v>
      </c>
      <c r="O115" s="816">
        <f t="shared" ref="O115" si="106">O113/(1-O114)</f>
        <v>7.2985075247653706</v>
      </c>
      <c r="P115" s="816">
        <f t="shared" ref="P115" si="107">P113/(1-P114)</f>
        <v>8.5148659594819343</v>
      </c>
      <c r="Q115" s="816">
        <f>SUM(E115:P115)</f>
        <v>99.490036966440812</v>
      </c>
    </row>
    <row r="116" spans="2:17">
      <c r="B116" s="92"/>
      <c r="C116" s="284"/>
      <c r="D116" s="284"/>
      <c r="E116" s="287"/>
      <c r="F116" s="29"/>
      <c r="G116" s="29"/>
      <c r="H116" s="29"/>
      <c r="I116" s="29"/>
      <c r="J116" s="29"/>
      <c r="K116" s="29"/>
      <c r="L116" s="29"/>
      <c r="M116" s="29"/>
      <c r="N116" s="29"/>
      <c r="O116" s="29"/>
      <c r="P116" s="29"/>
      <c r="Q116" s="29"/>
    </row>
    <row r="117" spans="2:17">
      <c r="B117" s="162" t="s">
        <v>550</v>
      </c>
      <c r="C117" s="288" t="s">
        <v>558</v>
      </c>
      <c r="D117" s="288"/>
      <c r="E117" s="287"/>
      <c r="F117" s="29"/>
      <c r="G117" s="29"/>
      <c r="H117" s="29"/>
      <c r="I117" s="29"/>
      <c r="J117" s="29"/>
      <c r="K117" s="29"/>
      <c r="L117" s="29"/>
      <c r="M117" s="29"/>
      <c r="N117" s="29"/>
      <c r="O117" s="29"/>
      <c r="P117" s="29"/>
      <c r="Q117" s="29"/>
    </row>
    <row r="118" spans="2:17">
      <c r="B118" s="92">
        <v>1</v>
      </c>
      <c r="C118" s="288" t="s">
        <v>431</v>
      </c>
      <c r="D118" s="106"/>
      <c r="E118" s="456"/>
      <c r="F118" s="456"/>
      <c r="G118" s="456"/>
      <c r="H118" s="29"/>
      <c r="I118" s="29"/>
      <c r="J118" s="29"/>
      <c r="K118" s="29"/>
      <c r="L118" s="29"/>
      <c r="M118" s="29"/>
      <c r="N118" s="29"/>
      <c r="O118" s="29"/>
      <c r="P118" s="29"/>
      <c r="Q118" s="464"/>
    </row>
    <row r="119" spans="2:17">
      <c r="B119" s="92">
        <v>1.1000000000000001</v>
      </c>
      <c r="C119" s="106" t="s">
        <v>1010</v>
      </c>
      <c r="D119" s="993">
        <f>M137</f>
        <v>3.9827738514372135</v>
      </c>
      <c r="E119" s="819">
        <f>85%*(10000*24*E109)/10^6</f>
        <v>6.12</v>
      </c>
      <c r="F119" s="819">
        <f t="shared" ref="F119:P119" si="108">85%*(10000*24*F109)/10^6</f>
        <v>6.3239999999999998</v>
      </c>
      <c r="G119" s="819">
        <f t="shared" si="108"/>
        <v>6.12</v>
      </c>
      <c r="H119" s="819">
        <f t="shared" si="108"/>
        <v>6.3239999999999998</v>
      </c>
      <c r="I119" s="819">
        <f t="shared" si="108"/>
        <v>6.3239999999999998</v>
      </c>
      <c r="J119" s="819">
        <f t="shared" si="108"/>
        <v>6.12</v>
      </c>
      <c r="K119" s="819">
        <f t="shared" si="108"/>
        <v>6.3239999999999998</v>
      </c>
      <c r="L119" s="819">
        <f t="shared" si="108"/>
        <v>6.12</v>
      </c>
      <c r="M119" s="819">
        <f t="shared" si="108"/>
        <v>6.3239999999999998</v>
      </c>
      <c r="N119" s="819">
        <f t="shared" si="108"/>
        <v>6.3239999999999998</v>
      </c>
      <c r="O119" s="819">
        <f t="shared" si="108"/>
        <v>5.9160000000000004</v>
      </c>
      <c r="P119" s="819">
        <f t="shared" si="108"/>
        <v>6.3239999999999998</v>
      </c>
      <c r="Q119" s="820">
        <f t="shared" ref="Q119:Q120" si="109">SUM(E119:P119)</f>
        <v>74.663999999999987</v>
      </c>
    </row>
    <row r="120" spans="2:17">
      <c r="B120" s="92">
        <v>1.2</v>
      </c>
      <c r="C120" s="106" t="s">
        <v>813</v>
      </c>
      <c r="D120" s="993">
        <f>M138</f>
        <v>4.1501008483938255</v>
      </c>
      <c r="E120" s="819">
        <f>85%*(10000*15*(E109-8))/10^6</f>
        <v>2.8050000000000002</v>
      </c>
      <c r="F120" s="819">
        <f t="shared" ref="F120:P120" si="110">85%*(10000*15*(F109-8))/10^6</f>
        <v>2.9325000000000001</v>
      </c>
      <c r="G120" s="819">
        <f t="shared" si="110"/>
        <v>2.8050000000000002</v>
      </c>
      <c r="H120" s="819">
        <f t="shared" si="110"/>
        <v>2.9325000000000001</v>
      </c>
      <c r="I120" s="819">
        <f t="shared" si="110"/>
        <v>2.9325000000000001</v>
      </c>
      <c r="J120" s="819">
        <f t="shared" si="110"/>
        <v>2.8050000000000002</v>
      </c>
      <c r="K120" s="819">
        <f t="shared" si="110"/>
        <v>2.9325000000000001</v>
      </c>
      <c r="L120" s="819">
        <f t="shared" si="110"/>
        <v>2.8050000000000002</v>
      </c>
      <c r="M120" s="819">
        <f t="shared" si="110"/>
        <v>2.9325000000000001</v>
      </c>
      <c r="N120" s="819">
        <f t="shared" si="110"/>
        <v>2.9325000000000001</v>
      </c>
      <c r="O120" s="819">
        <f t="shared" si="110"/>
        <v>2.6775000000000002</v>
      </c>
      <c r="P120" s="819">
        <f t="shared" si="110"/>
        <v>2.9325000000000001</v>
      </c>
      <c r="Q120" s="820">
        <f t="shared" si="109"/>
        <v>34.425000000000004</v>
      </c>
    </row>
    <row r="121" spans="2:17">
      <c r="B121" s="92">
        <v>2</v>
      </c>
      <c r="C121" s="106" t="s">
        <v>820</v>
      </c>
      <c r="D121" s="106"/>
      <c r="E121" s="819">
        <f>-(E119+E120-E115)</f>
        <v>-0.27292011439006281</v>
      </c>
      <c r="F121" s="819">
        <f t="shared" ref="F121" si="111">-(F119+F120-F115)</f>
        <v>0.10629466800997811</v>
      </c>
      <c r="G121" s="819">
        <f t="shared" ref="G121" si="112">-(G119+G120-G115)</f>
        <v>-0.3253066585346005</v>
      </c>
      <c r="H121" s="819">
        <f t="shared" ref="H121" si="113">-(H119+H120-H115)</f>
        <v>-0.43778652352571434</v>
      </c>
      <c r="I121" s="819">
        <f t="shared" ref="I121" si="114">-(I119+I120-I115)</f>
        <v>-0.85152539231715707</v>
      </c>
      <c r="J121" s="819">
        <f t="shared" ref="J121" si="115">-(J119+J120-J115)</f>
        <v>-0.59412664760210099</v>
      </c>
      <c r="K121" s="819">
        <f t="shared" ref="K121" si="116">-(K119+K120-K115)</f>
        <v>-0.78615257403713557</v>
      </c>
      <c r="L121" s="819">
        <f t="shared" ref="L121" si="117">-(L119+L120-L115)</f>
        <v>-1.0926046302859822</v>
      </c>
      <c r="M121" s="819">
        <f t="shared" ref="M121" si="118">-(M119+M120-M115)</f>
        <v>-1.7000453620492806</v>
      </c>
      <c r="N121" s="819">
        <f t="shared" ref="N121" si="119">-(N119+N120-N115)</f>
        <v>-1.6081632830744432</v>
      </c>
      <c r="O121" s="819">
        <f t="shared" ref="O121" si="120">-(O119+O120-O115)</f>
        <v>-1.29499247523463</v>
      </c>
      <c r="P121" s="819">
        <f t="shared" ref="P121" si="121">-(P119+P120-P115)</f>
        <v>-0.74163404051806481</v>
      </c>
      <c r="Q121" s="820">
        <f>SUM(E121:P121)</f>
        <v>-9.598963033559194</v>
      </c>
    </row>
    <row r="122" spans="2:17" s="331" customFormat="1">
      <c r="B122" s="92">
        <v>3</v>
      </c>
      <c r="C122" s="106" t="s">
        <v>812</v>
      </c>
      <c r="D122" s="106"/>
      <c r="E122" s="758">
        <v>0</v>
      </c>
      <c r="F122" s="758">
        <v>0</v>
      </c>
      <c r="G122" s="758">
        <v>0</v>
      </c>
      <c r="H122" s="758">
        <v>0</v>
      </c>
      <c r="I122" s="758">
        <v>0</v>
      </c>
      <c r="J122" s="758">
        <v>0</v>
      </c>
      <c r="K122" s="758">
        <v>0</v>
      </c>
      <c r="L122" s="758">
        <v>0</v>
      </c>
      <c r="M122" s="758">
        <v>0</v>
      </c>
      <c r="N122" s="758">
        <v>0</v>
      </c>
      <c r="O122" s="758">
        <v>0</v>
      </c>
      <c r="P122" s="758">
        <v>0</v>
      </c>
      <c r="Q122" s="820">
        <f>SUM(E122:P122)</f>
        <v>0</v>
      </c>
    </row>
    <row r="123" spans="2:17">
      <c r="B123" s="93">
        <v>4</v>
      </c>
      <c r="C123" s="32" t="s">
        <v>551</v>
      </c>
      <c r="D123" s="32"/>
      <c r="E123" s="816">
        <f>(E119+E120+E121+E122)</f>
        <v>8.6520798856099379</v>
      </c>
      <c r="F123" s="816">
        <f t="shared" ref="F123:P123" si="122">(F119+F120+F121+F122)</f>
        <v>9.3627946680099772</v>
      </c>
      <c r="G123" s="816">
        <f t="shared" si="122"/>
        <v>8.5996933414654002</v>
      </c>
      <c r="H123" s="816">
        <f t="shared" si="122"/>
        <v>8.8187134764742847</v>
      </c>
      <c r="I123" s="816">
        <f t="shared" si="122"/>
        <v>8.404974607682842</v>
      </c>
      <c r="J123" s="816">
        <f t="shared" si="122"/>
        <v>8.3308733523978997</v>
      </c>
      <c r="K123" s="816">
        <f t="shared" si="122"/>
        <v>8.4703474259628635</v>
      </c>
      <c r="L123" s="816">
        <f t="shared" si="122"/>
        <v>7.8323953697140185</v>
      </c>
      <c r="M123" s="816">
        <f t="shared" si="122"/>
        <v>7.5564546379507185</v>
      </c>
      <c r="N123" s="816">
        <f t="shared" si="122"/>
        <v>7.6483367169255558</v>
      </c>
      <c r="O123" s="816">
        <f t="shared" si="122"/>
        <v>7.2985075247653706</v>
      </c>
      <c r="P123" s="816">
        <f t="shared" si="122"/>
        <v>8.5148659594819343</v>
      </c>
      <c r="Q123" s="820">
        <f>SUM(E123:P123)</f>
        <v>99.490036966440812</v>
      </c>
    </row>
    <row r="124" spans="2:17">
      <c r="B124" s="93">
        <v>5</v>
      </c>
      <c r="C124" s="32" t="s">
        <v>553</v>
      </c>
      <c r="D124" s="32"/>
      <c r="E124" s="816">
        <f t="shared" ref="E124:L124" si="123">E115-E123</f>
        <v>0</v>
      </c>
      <c r="F124" s="816">
        <f t="shared" si="123"/>
        <v>0</v>
      </c>
      <c r="G124" s="816">
        <f t="shared" si="123"/>
        <v>0</v>
      </c>
      <c r="H124" s="816">
        <f t="shared" si="123"/>
        <v>0</v>
      </c>
      <c r="I124" s="816">
        <f t="shared" si="123"/>
        <v>0</v>
      </c>
      <c r="J124" s="816">
        <f t="shared" si="123"/>
        <v>0</v>
      </c>
      <c r="K124" s="816">
        <f t="shared" si="123"/>
        <v>0</v>
      </c>
      <c r="L124" s="816">
        <f t="shared" si="123"/>
        <v>0</v>
      </c>
      <c r="M124" s="816">
        <f t="shared" ref="M124" si="124">M115-M123</f>
        <v>0</v>
      </c>
      <c r="N124" s="816">
        <f t="shared" ref="N124" si="125">N115-N123</f>
        <v>0</v>
      </c>
      <c r="O124" s="816">
        <f t="shared" ref="O124" si="126">O115-O123</f>
        <v>0</v>
      </c>
      <c r="P124" s="816">
        <f t="shared" ref="P124" si="127">P115-P123</f>
        <v>0</v>
      </c>
      <c r="Q124" s="820">
        <f>SUM(E124:P124)</f>
        <v>0</v>
      </c>
    </row>
    <row r="125" spans="2:17">
      <c r="B125" s="212"/>
      <c r="C125" s="165"/>
      <c r="D125" s="165"/>
      <c r="E125" s="332"/>
      <c r="F125" s="170"/>
      <c r="G125" s="170"/>
      <c r="H125" s="170"/>
      <c r="I125" s="170"/>
      <c r="J125" s="170"/>
      <c r="K125" s="170"/>
      <c r="L125" s="170"/>
      <c r="M125" s="170"/>
      <c r="N125" s="170"/>
      <c r="O125" s="170"/>
      <c r="P125" s="170"/>
      <c r="Q125" s="170"/>
    </row>
    <row r="126" spans="2:17">
      <c r="B126" s="212" t="s">
        <v>559</v>
      </c>
      <c r="C126" s="165"/>
      <c r="D126" s="165"/>
      <c r="E126" s="332"/>
      <c r="F126" s="170"/>
      <c r="G126" s="170"/>
      <c r="H126" s="170"/>
      <c r="I126" s="170"/>
      <c r="J126" s="170"/>
      <c r="K126" s="170"/>
      <c r="L126" s="170"/>
      <c r="M126" s="170"/>
      <c r="N126" s="170"/>
      <c r="O126" s="170"/>
      <c r="P126" s="170"/>
      <c r="Q126" s="170"/>
    </row>
    <row r="127" spans="2:17">
      <c r="B127" s="91">
        <v>1</v>
      </c>
      <c r="C127" s="37" t="s">
        <v>583</v>
      </c>
    </row>
    <row r="128" spans="2:17">
      <c r="B128" s="91">
        <v>2</v>
      </c>
      <c r="C128" s="37" t="s">
        <v>584</v>
      </c>
    </row>
    <row r="129" spans="2:13">
      <c r="B129" s="91"/>
    </row>
    <row r="131" spans="2:13">
      <c r="B131" s="337" t="s">
        <v>555</v>
      </c>
      <c r="C131" s="338"/>
    </row>
    <row r="133" spans="2:13">
      <c r="B133" s="1365" t="s">
        <v>157</v>
      </c>
      <c r="C133" s="1365" t="s">
        <v>49</v>
      </c>
      <c r="D133" s="1365" t="s">
        <v>38</v>
      </c>
      <c r="E133" s="1365"/>
      <c r="F133" s="1365" t="s">
        <v>146</v>
      </c>
      <c r="G133" s="1365"/>
      <c r="H133" s="1365" t="s">
        <v>147</v>
      </c>
      <c r="I133" s="1365"/>
      <c r="J133" s="1365" t="s">
        <v>148</v>
      </c>
      <c r="K133" s="1365"/>
      <c r="L133" s="1365" t="s">
        <v>149</v>
      </c>
      <c r="M133" s="1365"/>
    </row>
    <row r="134" spans="2:13" ht="71.25">
      <c r="B134" s="1365"/>
      <c r="C134" s="1365"/>
      <c r="D134" s="405" t="s">
        <v>746</v>
      </c>
      <c r="E134" s="369" t="s">
        <v>414</v>
      </c>
      <c r="F134" s="370" t="s">
        <v>413</v>
      </c>
      <c r="G134" s="369" t="s">
        <v>672</v>
      </c>
      <c r="H134" s="369" t="s">
        <v>413</v>
      </c>
      <c r="I134" s="369" t="s">
        <v>718</v>
      </c>
      <c r="J134" s="369" t="s">
        <v>413</v>
      </c>
      <c r="K134" s="289" t="s">
        <v>689</v>
      </c>
      <c r="L134" s="369" t="s">
        <v>413</v>
      </c>
      <c r="M134" s="289" t="s">
        <v>689</v>
      </c>
    </row>
    <row r="135" spans="2:13">
      <c r="B135" s="93">
        <v>1</v>
      </c>
      <c r="C135" s="288" t="s">
        <v>430</v>
      </c>
      <c r="D135" s="287"/>
      <c r="E135" s="29"/>
      <c r="F135" s="29"/>
      <c r="G135" s="29"/>
      <c r="H135" s="29"/>
      <c r="I135" s="29"/>
      <c r="J135" s="29"/>
      <c r="K135" s="29"/>
      <c r="L135" s="29"/>
      <c r="M135" s="29"/>
    </row>
    <row r="136" spans="2:13">
      <c r="B136" s="92">
        <v>2</v>
      </c>
      <c r="C136" s="288" t="s">
        <v>431</v>
      </c>
      <c r="D136" s="758"/>
      <c r="E136" s="466"/>
      <c r="F136" s="466"/>
      <c r="G136" s="466"/>
      <c r="H136" s="466"/>
      <c r="I136" s="466"/>
      <c r="J136" s="466"/>
      <c r="K136" s="466"/>
      <c r="L136" s="466"/>
      <c r="M136" s="466"/>
    </row>
    <row r="137" spans="2:13">
      <c r="B137" s="92">
        <v>2.1</v>
      </c>
      <c r="C137" s="106" t="s">
        <v>1010</v>
      </c>
      <c r="D137" s="758"/>
      <c r="E137" s="466"/>
      <c r="F137" s="466"/>
      <c r="G137" s="466">
        <v>3.82</v>
      </c>
      <c r="H137" s="466"/>
      <c r="I137" s="466">
        <f>+Backup!E145</f>
        <v>3.8730327000000004</v>
      </c>
      <c r="J137" s="466"/>
      <c r="K137" s="466">
        <f>+Backup!F145</f>
        <v>3.9272803791570006</v>
      </c>
      <c r="L137" s="466"/>
      <c r="M137" s="466">
        <f>+Backup!G145</f>
        <v>3.9827738514372135</v>
      </c>
    </row>
    <row r="138" spans="2:13">
      <c r="B138" s="92">
        <v>2.2000000000000002</v>
      </c>
      <c r="C138" s="106" t="s">
        <v>813</v>
      </c>
      <c r="D138" s="758"/>
      <c r="E138" s="466"/>
      <c r="F138" s="466"/>
      <c r="G138" s="466">
        <f>3.96</f>
        <v>3.96</v>
      </c>
      <c r="H138" s="466"/>
      <c r="I138" s="466">
        <f>+Backup!E155</f>
        <v>4.0219360000000002</v>
      </c>
      <c r="J138" s="466"/>
      <c r="K138" s="466">
        <f>+Backup!F155</f>
        <v>4.0852909537600004</v>
      </c>
      <c r="L138" s="466"/>
      <c r="M138" s="466">
        <f>+Backup!G155</f>
        <v>4.1501008483938255</v>
      </c>
    </row>
    <row r="139" spans="2:13">
      <c r="B139" s="92">
        <v>3</v>
      </c>
      <c r="C139" s="288" t="s">
        <v>432</v>
      </c>
      <c r="D139" s="758"/>
      <c r="E139" s="466"/>
      <c r="F139" s="466"/>
      <c r="G139" s="466"/>
      <c r="H139" s="466"/>
      <c r="I139" s="466"/>
      <c r="J139" s="466"/>
      <c r="K139" s="466"/>
      <c r="L139" s="466"/>
      <c r="M139" s="466"/>
    </row>
    <row r="140" spans="2:13" ht="28.5">
      <c r="B140" s="93">
        <v>3.1</v>
      </c>
      <c r="C140" s="288" t="str">
        <f>'F2'!B29</f>
        <v>Jindal Power Ltd, Dist: Raigarh, Chattisgarh through Global Energy Pvt. Ltd. (Trader)</v>
      </c>
      <c r="D140" s="758"/>
      <c r="E140" s="466">
        <v>3.88</v>
      </c>
      <c r="F140" s="466"/>
      <c r="G140" s="466"/>
      <c r="H140" s="466"/>
      <c r="I140" s="466"/>
      <c r="J140" s="466"/>
      <c r="K140" s="466"/>
      <c r="L140" s="466"/>
      <c r="M140" s="466"/>
    </row>
    <row r="141" spans="2:13" ht="30">
      <c r="B141" s="92">
        <v>3.2</v>
      </c>
      <c r="C141" s="106" t="str">
        <f>'F2'!B29</f>
        <v>Jindal Power Ltd, Dist: Raigarh, Chattisgarh through Global Energy Pvt. Ltd. (Trader)</v>
      </c>
      <c r="D141" s="758"/>
      <c r="E141" s="466"/>
      <c r="F141" s="466"/>
      <c r="G141" s="466"/>
      <c r="H141" s="466"/>
      <c r="I141" s="466"/>
      <c r="J141" s="466"/>
      <c r="K141" s="466"/>
      <c r="L141" s="466"/>
      <c r="M141" s="466"/>
    </row>
    <row r="142" spans="2:13">
      <c r="B142" s="92">
        <v>3.2</v>
      </c>
      <c r="C142" s="106" t="str">
        <f>'F2'!B30</f>
        <v>JSW, Ratnagiri, Maharashtra through Global Energy Pvt. Ltd. (Trader)</v>
      </c>
      <c r="D142" s="758"/>
      <c r="E142" s="466"/>
      <c r="F142" s="466"/>
      <c r="G142" s="466"/>
      <c r="H142" s="466"/>
      <c r="I142" s="466"/>
      <c r="J142" s="466"/>
      <c r="K142" s="466"/>
      <c r="L142" s="466"/>
      <c r="M142" s="466"/>
    </row>
    <row r="143" spans="2:13" ht="30">
      <c r="B143" s="541"/>
      <c r="C143" s="106" t="str">
        <f>'F2'!B31</f>
        <v>Jindal India Thermal Power Limited, Orissa, though Global Energy Pvt. Ltd. (Trader)</v>
      </c>
      <c r="D143" s="758"/>
      <c r="E143" s="466"/>
      <c r="F143" s="466"/>
      <c r="G143" s="466"/>
      <c r="H143" s="466"/>
      <c r="I143" s="466"/>
      <c r="J143" s="466"/>
      <c r="K143" s="466"/>
      <c r="L143" s="466"/>
      <c r="M143" s="466"/>
    </row>
    <row r="144" spans="2:13">
      <c r="B144" s="541"/>
      <c r="C144" s="106" t="str">
        <f>'F2'!B32</f>
        <v>Adani Power Limited Stage-III/Gujarat, through Global Energy Pvt. Ltd.</v>
      </c>
      <c r="D144" s="758"/>
      <c r="E144" s="466"/>
      <c r="F144" s="466"/>
      <c r="G144" s="466"/>
      <c r="H144" s="466"/>
      <c r="I144" s="466"/>
      <c r="J144" s="466"/>
      <c r="K144" s="466"/>
      <c r="L144" s="466"/>
      <c r="M144" s="466"/>
    </row>
    <row r="146" spans="2:17">
      <c r="B146" s="337" t="s">
        <v>586</v>
      </c>
      <c r="C146" s="338"/>
    </row>
    <row r="148" spans="2:17">
      <c r="B148" s="182" t="s">
        <v>690</v>
      </c>
      <c r="C148" s="156"/>
      <c r="D148" s="156"/>
      <c r="E148" s="20"/>
      <c r="F148" s="21"/>
      <c r="G148" s="20"/>
      <c r="H148" s="20"/>
      <c r="I148" s="20"/>
      <c r="J148" s="37"/>
      <c r="K148" s="37"/>
      <c r="L148" s="37"/>
    </row>
    <row r="149" spans="2:17">
      <c r="B149" s="182"/>
      <c r="C149" s="156"/>
      <c r="D149" s="156"/>
      <c r="E149" s="20"/>
      <c r="F149" s="21"/>
      <c r="G149" s="20"/>
      <c r="H149" s="20"/>
      <c r="I149" s="20"/>
      <c r="J149" s="37"/>
      <c r="K149" s="37"/>
      <c r="L149" s="37"/>
    </row>
    <row r="150" spans="2:17" ht="28.5">
      <c r="B150" s="289" t="s">
        <v>157</v>
      </c>
      <c r="C150" s="289" t="s">
        <v>49</v>
      </c>
      <c r="D150" s="289" t="s">
        <v>557</v>
      </c>
      <c r="E150" s="314" t="s">
        <v>118</v>
      </c>
      <c r="F150" s="314" t="s">
        <v>119</v>
      </c>
      <c r="G150" s="314" t="s">
        <v>120</v>
      </c>
      <c r="H150" s="314" t="s">
        <v>121</v>
      </c>
      <c r="I150" s="314" t="s">
        <v>122</v>
      </c>
      <c r="J150" s="314" t="s">
        <v>123</v>
      </c>
      <c r="K150" s="314" t="s">
        <v>124</v>
      </c>
      <c r="L150" s="314" t="s">
        <v>125</v>
      </c>
      <c r="M150" s="314" t="s">
        <v>126</v>
      </c>
      <c r="N150" s="314" t="s">
        <v>127</v>
      </c>
      <c r="O150" s="314" t="s">
        <v>128</v>
      </c>
      <c r="P150" s="314" t="s">
        <v>129</v>
      </c>
      <c r="Q150" s="314" t="s">
        <v>115</v>
      </c>
    </row>
    <row r="151" spans="2:17">
      <c r="B151" s="93">
        <v>1</v>
      </c>
      <c r="C151" s="288" t="s">
        <v>432</v>
      </c>
      <c r="D151" s="288"/>
      <c r="E151" s="287"/>
      <c r="F151" s="29"/>
      <c r="G151" s="29"/>
      <c r="H151" s="29"/>
      <c r="I151" s="29"/>
      <c r="J151" s="29"/>
      <c r="K151" s="29"/>
      <c r="L151" s="29"/>
      <c r="M151" s="29"/>
      <c r="N151" s="29"/>
      <c r="O151" s="29"/>
      <c r="P151" s="29"/>
      <c r="Q151" s="29"/>
    </row>
    <row r="152" spans="2:17">
      <c r="B152" s="92">
        <v>1.1000000000000001</v>
      </c>
      <c r="C152" s="106" t="str">
        <f>C23</f>
        <v xml:space="preserve">Jindal Power Ltd, Dist: Raigarh, Chattisgarh through Global Energy </v>
      </c>
      <c r="D152" s="1408">
        <v>12</v>
      </c>
      <c r="E152" s="456">
        <f>E26</f>
        <v>5.1856984424549672</v>
      </c>
      <c r="F152" s="456">
        <f t="shared" ref="F152:G152" si="128">F26</f>
        <v>7.0618553381952598</v>
      </c>
      <c r="G152" s="456">
        <f t="shared" si="128"/>
        <v>6.9720486831587802</v>
      </c>
      <c r="H152" s="29"/>
      <c r="I152" s="29"/>
      <c r="J152" s="29"/>
      <c r="K152" s="29"/>
      <c r="L152" s="29"/>
      <c r="M152" s="29"/>
      <c r="N152" s="29"/>
      <c r="O152" s="29"/>
      <c r="P152" s="29"/>
      <c r="Q152" s="680">
        <f>SUM(E152:P152)</f>
        <v>19.219602463809007</v>
      </c>
    </row>
    <row r="153" spans="2:17">
      <c r="B153" s="92">
        <v>1.2</v>
      </c>
      <c r="C153" s="106" t="str">
        <f>C27</f>
        <v>JSW, Ratnagiri, Maharashtra  through Global Energy</v>
      </c>
      <c r="D153" s="1409"/>
      <c r="E153" s="287"/>
      <c r="F153" s="29"/>
      <c r="G153" s="29"/>
      <c r="H153" s="680">
        <f>H27</f>
        <v>7.2252000000000001</v>
      </c>
      <c r="I153" s="680">
        <f t="shared" ref="I153:M153" si="129">I27</f>
        <v>7.0574699999999995</v>
      </c>
      <c r="J153" s="680">
        <f t="shared" si="129"/>
        <v>7.4416000000000002</v>
      </c>
      <c r="K153" s="680">
        <f t="shared" si="129"/>
        <v>7.4163199999999998</v>
      </c>
      <c r="L153" s="680">
        <f t="shared" si="129"/>
        <v>7.1416000000000004</v>
      </c>
      <c r="M153" s="680">
        <f t="shared" si="129"/>
        <v>7.61632</v>
      </c>
      <c r="N153" s="680"/>
      <c r="O153" s="29"/>
      <c r="P153" s="29"/>
      <c r="Q153" s="680">
        <f t="shared" ref="Q153:Q155" si="130">SUM(E153:P153)</f>
        <v>43.898510000000002</v>
      </c>
    </row>
    <row r="154" spans="2:17">
      <c r="B154" s="92">
        <v>1.3</v>
      </c>
      <c r="C154" s="106" t="str">
        <f>C28</f>
        <v>Jindal India Thermal Power Ltd., Orissa through Global Energy</v>
      </c>
      <c r="D154" s="1409"/>
      <c r="E154" s="287"/>
      <c r="F154" s="29"/>
      <c r="G154" s="29"/>
      <c r="H154" s="29"/>
      <c r="I154" s="29"/>
      <c r="J154" s="29"/>
      <c r="K154" s="29"/>
      <c r="L154" s="29"/>
      <c r="M154" s="29"/>
      <c r="N154" s="680">
        <f>N29</f>
        <v>7.1457186666113017</v>
      </c>
      <c r="O154" s="29"/>
      <c r="P154" s="29"/>
      <c r="Q154" s="680">
        <f t="shared" si="130"/>
        <v>7.1457186666113017</v>
      </c>
    </row>
    <row r="155" spans="2:17">
      <c r="B155" s="93">
        <v>2</v>
      </c>
      <c r="C155" s="106" t="str">
        <f>C32</f>
        <v>Adani Power Limited Stage-III/Gujarat through Global Energy</v>
      </c>
      <c r="D155" s="1410"/>
      <c r="E155" s="287"/>
      <c r="F155" s="29"/>
      <c r="G155" s="29"/>
      <c r="H155" s="29"/>
      <c r="I155" s="29"/>
      <c r="J155" s="29"/>
      <c r="K155" s="29"/>
      <c r="L155" s="29"/>
      <c r="M155" s="29"/>
      <c r="N155" s="29"/>
      <c r="O155" s="680">
        <f>O35</f>
        <v>7.1727721029222051</v>
      </c>
      <c r="P155" s="680">
        <f>P35</f>
        <v>7.5019277651777143</v>
      </c>
      <c r="Q155" s="680">
        <f t="shared" si="130"/>
        <v>14.674699868099919</v>
      </c>
    </row>
    <row r="156" spans="2:17">
      <c r="B156" s="93">
        <v>4</v>
      </c>
      <c r="C156" s="32" t="s">
        <v>551</v>
      </c>
      <c r="D156" s="32"/>
      <c r="E156" s="682">
        <f>SUM(E152:E155)</f>
        <v>5.1856984424549672</v>
      </c>
      <c r="F156" s="682">
        <f t="shared" ref="F156:Q156" si="131">SUM(F152:F155)</f>
        <v>7.0618553381952598</v>
      </c>
      <c r="G156" s="682">
        <f t="shared" si="131"/>
        <v>6.9720486831587802</v>
      </c>
      <c r="H156" s="682">
        <f t="shared" si="131"/>
        <v>7.2252000000000001</v>
      </c>
      <c r="I156" s="682">
        <f t="shared" si="131"/>
        <v>7.0574699999999995</v>
      </c>
      <c r="J156" s="682">
        <f t="shared" si="131"/>
        <v>7.4416000000000002</v>
      </c>
      <c r="K156" s="682">
        <f t="shared" si="131"/>
        <v>7.4163199999999998</v>
      </c>
      <c r="L156" s="682">
        <f t="shared" si="131"/>
        <v>7.1416000000000004</v>
      </c>
      <c r="M156" s="682">
        <f t="shared" si="131"/>
        <v>7.61632</v>
      </c>
      <c r="N156" s="682">
        <f t="shared" si="131"/>
        <v>7.1457186666113017</v>
      </c>
      <c r="O156" s="682">
        <f t="shared" si="131"/>
        <v>7.1727721029222051</v>
      </c>
      <c r="P156" s="682">
        <f t="shared" si="131"/>
        <v>7.5019277651777143</v>
      </c>
      <c r="Q156" s="681">
        <f t="shared" si="131"/>
        <v>84.938530998520235</v>
      </c>
    </row>
    <row r="158" spans="2:17">
      <c r="B158" s="182" t="s">
        <v>692</v>
      </c>
      <c r="C158" s="156"/>
      <c r="D158" s="156"/>
      <c r="E158" s="20"/>
      <c r="F158" s="21"/>
      <c r="G158" s="20"/>
      <c r="H158" s="20"/>
      <c r="I158" s="20"/>
      <c r="J158" s="37"/>
      <c r="K158" s="37"/>
      <c r="L158" s="37"/>
    </row>
    <row r="159" spans="2:17">
      <c r="B159" s="182"/>
      <c r="C159" s="156"/>
      <c r="D159" s="156"/>
      <c r="E159" s="20"/>
      <c r="F159" s="21"/>
      <c r="G159" s="20"/>
      <c r="H159" s="20"/>
      <c r="I159" s="20"/>
      <c r="J159" s="37"/>
      <c r="K159" s="37"/>
      <c r="L159" s="37"/>
    </row>
    <row r="160" spans="2:17" ht="28.5">
      <c r="B160" s="289" t="s">
        <v>157</v>
      </c>
      <c r="C160" s="289" t="s">
        <v>49</v>
      </c>
      <c r="D160" s="289" t="s">
        <v>557</v>
      </c>
      <c r="E160" s="314" t="s">
        <v>118</v>
      </c>
      <c r="F160" s="314" t="s">
        <v>119</v>
      </c>
      <c r="G160" s="314" t="s">
        <v>120</v>
      </c>
      <c r="H160" s="314" t="s">
        <v>121</v>
      </c>
      <c r="I160" s="314" t="s">
        <v>122</v>
      </c>
      <c r="J160" s="314" t="s">
        <v>123</v>
      </c>
      <c r="K160" s="314" t="s">
        <v>124</v>
      </c>
      <c r="L160" s="314" t="s">
        <v>125</v>
      </c>
      <c r="M160" s="314" t="s">
        <v>126</v>
      </c>
      <c r="N160" s="314" t="s">
        <v>127</v>
      </c>
      <c r="O160" s="314" t="s">
        <v>128</v>
      </c>
      <c r="P160" s="314" t="s">
        <v>129</v>
      </c>
      <c r="Q160" s="314" t="s">
        <v>115</v>
      </c>
    </row>
    <row r="161" spans="2:17">
      <c r="B161" s="93">
        <v>1</v>
      </c>
      <c r="C161" s="288" t="s">
        <v>432</v>
      </c>
      <c r="D161" s="288"/>
      <c r="E161" s="287"/>
      <c r="F161" s="29"/>
      <c r="G161" s="29"/>
      <c r="H161" s="29"/>
      <c r="I161" s="29"/>
      <c r="J161" s="29"/>
      <c r="K161" s="29"/>
      <c r="L161" s="29"/>
      <c r="M161" s="29"/>
      <c r="N161" s="29"/>
      <c r="O161" s="29"/>
      <c r="P161" s="29"/>
      <c r="Q161" s="29"/>
    </row>
    <row r="162" spans="2:17">
      <c r="B162" s="92">
        <v>1.1000000000000001</v>
      </c>
      <c r="C162" s="106" t="str">
        <f>C54</f>
        <v>Adani Power Limited Stage-III/Gujarat through Global Energy</v>
      </c>
      <c r="D162" s="106"/>
      <c r="E162" s="456">
        <f>E57</f>
        <v>7.5643097600000004</v>
      </c>
      <c r="F162" s="456">
        <f t="shared" ref="F162:G162" si="132">F57</f>
        <v>8.1534245519999988</v>
      </c>
      <c r="G162" s="456">
        <f t="shared" si="132"/>
        <v>7.6441469999999994</v>
      </c>
      <c r="H162" s="758">
        <v>0</v>
      </c>
      <c r="I162" s="758">
        <v>0</v>
      </c>
      <c r="J162" s="758">
        <v>0</v>
      </c>
      <c r="K162" s="758">
        <v>0</v>
      </c>
      <c r="L162" s="758">
        <v>0</v>
      </c>
      <c r="M162" s="758">
        <v>0</v>
      </c>
      <c r="N162" s="758">
        <v>0</v>
      </c>
      <c r="O162" s="758">
        <v>0</v>
      </c>
      <c r="P162" s="758">
        <v>0</v>
      </c>
      <c r="Q162" s="683">
        <f>SUM(E162:P162)</f>
        <v>23.361881311999998</v>
      </c>
    </row>
    <row r="163" spans="2:17">
      <c r="B163" s="93">
        <v>2</v>
      </c>
      <c r="C163" s="288" t="s">
        <v>431</v>
      </c>
      <c r="D163" s="288"/>
      <c r="E163" s="287"/>
      <c r="F163" s="29"/>
      <c r="G163" s="29"/>
      <c r="H163" s="29"/>
      <c r="I163" s="29"/>
      <c r="J163" s="29"/>
      <c r="K163" s="29"/>
      <c r="L163" s="29"/>
      <c r="M163" s="29"/>
      <c r="N163" s="29"/>
      <c r="O163" s="29"/>
      <c r="P163" s="29"/>
      <c r="Q163" s="683"/>
    </row>
    <row r="164" spans="2:17">
      <c r="B164" s="92">
        <v>2.1</v>
      </c>
      <c r="C164" s="106" t="str">
        <f>C59</f>
        <v>Jindal Power Limited, Chhatisgarh</v>
      </c>
      <c r="D164" s="106">
        <v>10</v>
      </c>
      <c r="E164" s="758">
        <v>0</v>
      </c>
      <c r="F164" s="758">
        <v>0</v>
      </c>
      <c r="G164" s="758">
        <v>0</v>
      </c>
      <c r="H164" s="680">
        <f>H59</f>
        <v>7.7186562914243719</v>
      </c>
      <c r="I164" s="680">
        <f t="shared" ref="I164:P164" si="133">I59</f>
        <v>7.7862154121722513</v>
      </c>
      <c r="J164" s="680">
        <f t="shared" si="133"/>
        <v>7.5555096267324213</v>
      </c>
      <c r="K164" s="680">
        <f t="shared" si="133"/>
        <v>6.8164516569240092</v>
      </c>
      <c r="L164" s="680">
        <f t="shared" si="133"/>
        <v>6.5588154505131646</v>
      </c>
      <c r="M164" s="680">
        <f t="shared" si="133"/>
        <v>6.70645542730737</v>
      </c>
      <c r="N164" s="680">
        <f t="shared" si="133"/>
        <v>6.5753812361385897</v>
      </c>
      <c r="O164" s="680">
        <f t="shared" si="133"/>
        <v>5.9798721974926883</v>
      </c>
      <c r="P164" s="680">
        <f t="shared" si="133"/>
        <v>6.9594202982354929</v>
      </c>
      <c r="Q164" s="683">
        <f t="shared" ref="Q164:Q165" si="134">SUM(E164:P164)</f>
        <v>62.656777596940358</v>
      </c>
    </row>
    <row r="165" spans="2:17">
      <c r="B165" s="92">
        <v>2.2000000000000002</v>
      </c>
      <c r="C165" s="106" t="str">
        <f>C60</f>
        <v>GMR Energy Trading Ltd.</v>
      </c>
      <c r="D165" s="106">
        <v>10</v>
      </c>
      <c r="E165" s="758">
        <v>0</v>
      </c>
      <c r="F165" s="758">
        <v>0</v>
      </c>
      <c r="G165" s="758">
        <v>0</v>
      </c>
      <c r="H165" s="680">
        <f>H60</f>
        <v>2.2907760000000001</v>
      </c>
      <c r="I165" s="680">
        <f t="shared" ref="I165:P165" si="135">I60</f>
        <v>2.4168669999999999</v>
      </c>
      <c r="J165" s="680">
        <f t="shared" si="135"/>
        <v>2.460753</v>
      </c>
      <c r="K165" s="680">
        <f t="shared" si="135"/>
        <v>1.9944</v>
      </c>
      <c r="L165" s="680">
        <f t="shared" si="135"/>
        <v>2.2963499999999999</v>
      </c>
      <c r="M165" s="680">
        <f t="shared" si="135"/>
        <v>2.0374099999999999</v>
      </c>
      <c r="N165" s="680">
        <f t="shared" si="135"/>
        <v>2.0566499999999999</v>
      </c>
      <c r="O165" s="680">
        <f t="shared" si="135"/>
        <v>1.7883100000000001</v>
      </c>
      <c r="P165" s="680">
        <f t="shared" si="135"/>
        <v>1.6473599999999999</v>
      </c>
      <c r="Q165" s="683">
        <f t="shared" si="134"/>
        <v>18.988875999999998</v>
      </c>
    </row>
    <row r="166" spans="2:17">
      <c r="B166" s="93">
        <v>4</v>
      </c>
      <c r="C166" s="32" t="s">
        <v>551</v>
      </c>
      <c r="D166" s="32"/>
      <c r="E166" s="682">
        <f>SUM(E162:E165)</f>
        <v>7.5643097600000004</v>
      </c>
      <c r="F166" s="682">
        <f t="shared" ref="F166:Q166" si="136">SUM(F162:F165)</f>
        <v>8.1534245519999988</v>
      </c>
      <c r="G166" s="682">
        <f t="shared" si="136"/>
        <v>7.6441469999999994</v>
      </c>
      <c r="H166" s="682">
        <f t="shared" si="136"/>
        <v>10.009432291424371</v>
      </c>
      <c r="I166" s="682">
        <f t="shared" si="136"/>
        <v>10.20308241217225</v>
      </c>
      <c r="J166" s="682">
        <f t="shared" si="136"/>
        <v>10.016262626732422</v>
      </c>
      <c r="K166" s="682">
        <f t="shared" si="136"/>
        <v>8.8108516569240098</v>
      </c>
      <c r="L166" s="682">
        <f t="shared" si="136"/>
        <v>8.8551654505131641</v>
      </c>
      <c r="M166" s="682">
        <f t="shared" si="136"/>
        <v>8.7438654273073695</v>
      </c>
      <c r="N166" s="682">
        <f t="shared" si="136"/>
        <v>8.6320312361385891</v>
      </c>
      <c r="O166" s="682">
        <f t="shared" si="136"/>
        <v>7.7681821974926883</v>
      </c>
      <c r="P166" s="682">
        <f t="shared" si="136"/>
        <v>8.606780298235492</v>
      </c>
      <c r="Q166" s="682">
        <f t="shared" si="136"/>
        <v>105.00753490894036</v>
      </c>
    </row>
    <row r="168" spans="2:17">
      <c r="B168" s="182" t="s">
        <v>683</v>
      </c>
      <c r="C168" s="156"/>
      <c r="D168" s="156"/>
      <c r="E168" s="20"/>
      <c r="F168" s="21"/>
      <c r="G168" s="20"/>
      <c r="H168" s="20"/>
      <c r="I168" s="20"/>
      <c r="J168" s="37"/>
      <c r="K168" s="37"/>
      <c r="L168" s="37"/>
    </row>
    <row r="169" spans="2:17">
      <c r="B169" s="182"/>
      <c r="C169" s="156"/>
      <c r="D169" s="156"/>
      <c r="E169" s="20"/>
      <c r="F169" s="21"/>
      <c r="G169" s="20"/>
      <c r="H169" s="20"/>
      <c r="I169" s="20"/>
      <c r="J169" s="37"/>
      <c r="K169" s="37"/>
      <c r="L169" s="37"/>
    </row>
    <row r="170" spans="2:17">
      <c r="B170" s="1404" t="s">
        <v>157</v>
      </c>
      <c r="C170" s="1406" t="s">
        <v>49</v>
      </c>
      <c r="D170" s="1404" t="s">
        <v>557</v>
      </c>
      <c r="E170" s="1365" t="s">
        <v>12</v>
      </c>
      <c r="F170" s="1365"/>
      <c r="G170" s="1365"/>
      <c r="H170" s="1365"/>
      <c r="I170" s="1365"/>
      <c r="J170" s="1365"/>
      <c r="K170" s="1365" t="s">
        <v>22</v>
      </c>
      <c r="L170" s="1365"/>
      <c r="M170" s="1365"/>
      <c r="N170" s="1365"/>
      <c r="O170" s="1365"/>
      <c r="P170" s="1365"/>
      <c r="Q170" s="1365" t="s">
        <v>115</v>
      </c>
    </row>
    <row r="171" spans="2:17">
      <c r="B171" s="1405"/>
      <c r="C171" s="1407"/>
      <c r="D171" s="1405"/>
      <c r="E171" s="314" t="s">
        <v>118</v>
      </c>
      <c r="F171" s="314" t="s">
        <v>119</v>
      </c>
      <c r="G171" s="314" t="s">
        <v>120</v>
      </c>
      <c r="H171" s="314" t="s">
        <v>121</v>
      </c>
      <c r="I171" s="314" t="s">
        <v>122</v>
      </c>
      <c r="J171" s="314" t="s">
        <v>123</v>
      </c>
      <c r="K171" s="314" t="s">
        <v>124</v>
      </c>
      <c r="L171" s="314" t="s">
        <v>125</v>
      </c>
      <c r="M171" s="314" t="s">
        <v>126</v>
      </c>
      <c r="N171" s="314" t="s">
        <v>127</v>
      </c>
      <c r="O171" s="314" t="s">
        <v>128</v>
      </c>
      <c r="P171" s="314" t="s">
        <v>129</v>
      </c>
      <c r="Q171" s="1365"/>
    </row>
    <row r="172" spans="2:17">
      <c r="B172" s="93">
        <v>1</v>
      </c>
      <c r="C172" s="288" t="s">
        <v>431</v>
      </c>
      <c r="D172" s="288"/>
      <c r="E172" s="287"/>
      <c r="F172" s="29"/>
      <c r="G172" s="29"/>
      <c r="H172" s="29"/>
      <c r="I172" s="29"/>
      <c r="J172" s="29"/>
      <c r="K172" s="29"/>
      <c r="L172" s="29"/>
      <c r="M172" s="29"/>
      <c r="N172" s="29"/>
      <c r="O172" s="29"/>
      <c r="P172" s="29"/>
      <c r="Q172" s="29"/>
    </row>
    <row r="173" spans="2:17">
      <c r="B173" s="92">
        <v>1.1000000000000001</v>
      </c>
      <c r="C173" s="106" t="str">
        <f>C79</f>
        <v>Jindal Power Limited, Chhatisgarh</v>
      </c>
      <c r="D173" s="106">
        <v>10</v>
      </c>
      <c r="E173" s="456">
        <f>E79</f>
        <v>6.722991020899121</v>
      </c>
      <c r="F173" s="456">
        <f t="shared" ref="F173:P173" si="137">F79</f>
        <v>6.8410194718588082</v>
      </c>
      <c r="G173" s="456">
        <f t="shared" si="137"/>
        <v>6.66378732284306</v>
      </c>
      <c r="H173" s="456">
        <f t="shared" si="137"/>
        <v>6.7101701408833527</v>
      </c>
      <c r="I173" s="456">
        <f t="shared" si="137"/>
        <v>6.6656161793899606</v>
      </c>
      <c r="J173" s="456">
        <f t="shared" si="137"/>
        <v>6.1910332324638349</v>
      </c>
      <c r="K173" s="456">
        <f t="shared" si="137"/>
        <v>6.3796699799367058</v>
      </c>
      <c r="L173" s="456">
        <f t="shared" si="137"/>
        <v>6.4714630933542354</v>
      </c>
      <c r="M173" s="456">
        <f t="shared" si="137"/>
        <v>6.4038285350524609</v>
      </c>
      <c r="N173" s="456">
        <f t="shared" si="137"/>
        <v>6.4126795965195225</v>
      </c>
      <c r="O173" s="456">
        <f t="shared" si="137"/>
        <v>5.5936856024916786</v>
      </c>
      <c r="P173" s="456">
        <f t="shared" si="137"/>
        <v>6.452860302434317</v>
      </c>
      <c r="Q173" s="680">
        <f>SUM(E173:P173)</f>
        <v>77.508804478127061</v>
      </c>
    </row>
    <row r="174" spans="2:17">
      <c r="B174" s="92">
        <v>1.2</v>
      </c>
      <c r="C174" s="106" t="str">
        <f>C80</f>
        <v>GMR Energy Trading Ltd.</v>
      </c>
      <c r="D174" s="106">
        <v>10</v>
      </c>
      <c r="E174" s="456">
        <f>E80</f>
        <v>1.7370099999999999</v>
      </c>
      <c r="F174" s="456">
        <f t="shared" ref="F174:P174" si="138">F80</f>
        <v>1.923314</v>
      </c>
      <c r="G174" s="456">
        <f t="shared" si="138"/>
        <v>2.0544099999999998</v>
      </c>
      <c r="H174" s="456">
        <f t="shared" si="138"/>
        <v>1.9896499999999999</v>
      </c>
      <c r="I174" s="456">
        <f t="shared" si="138"/>
        <v>2.11436</v>
      </c>
      <c r="J174" s="456">
        <f t="shared" si="138"/>
        <v>2.276567</v>
      </c>
      <c r="K174" s="456">
        <f t="shared" si="138"/>
        <v>2.3063910000000001</v>
      </c>
      <c r="L174" s="456">
        <f t="shared" si="138"/>
        <v>2.8825080000000001</v>
      </c>
      <c r="M174" s="456">
        <f t="shared" si="138"/>
        <v>2.5535320000000001</v>
      </c>
      <c r="N174" s="456">
        <f t="shared" si="138"/>
        <v>2.716018</v>
      </c>
      <c r="O174" s="456">
        <f t="shared" si="138"/>
        <v>2.54705</v>
      </c>
      <c r="P174" s="456">
        <f t="shared" si="138"/>
        <v>2.8000929999999999</v>
      </c>
      <c r="Q174" s="680">
        <f>SUM(E174:P174)</f>
        <v>27.900903000000003</v>
      </c>
    </row>
    <row r="175" spans="2:17">
      <c r="B175" s="93">
        <v>4</v>
      </c>
      <c r="C175" s="32" t="s">
        <v>551</v>
      </c>
      <c r="D175" s="32"/>
      <c r="E175" s="843">
        <f>SUM(E173:E174)</f>
        <v>8.4600010208991208</v>
      </c>
      <c r="F175" s="843">
        <f t="shared" ref="F175:Q175" si="139">SUM(F173:F174)</f>
        <v>8.7643334718588086</v>
      </c>
      <c r="G175" s="843">
        <f t="shared" si="139"/>
        <v>8.7181973228430607</v>
      </c>
      <c r="H175" s="843">
        <f t="shared" si="139"/>
        <v>8.699820140883352</v>
      </c>
      <c r="I175" s="843">
        <f t="shared" si="139"/>
        <v>8.7799761793899602</v>
      </c>
      <c r="J175" s="843">
        <f t="shared" si="139"/>
        <v>8.467600232463834</v>
      </c>
      <c r="K175" s="843">
        <f t="shared" si="139"/>
        <v>8.6860609799367055</v>
      </c>
      <c r="L175" s="843">
        <f t="shared" si="139"/>
        <v>9.3539710933542359</v>
      </c>
      <c r="M175" s="843">
        <f t="shared" si="139"/>
        <v>8.9573605350524605</v>
      </c>
      <c r="N175" s="843">
        <f t="shared" si="139"/>
        <v>9.1286975965195225</v>
      </c>
      <c r="O175" s="843">
        <f t="shared" si="139"/>
        <v>8.140735602491679</v>
      </c>
      <c r="P175" s="843">
        <f t="shared" si="139"/>
        <v>9.2529533024343174</v>
      </c>
      <c r="Q175" s="682">
        <f t="shared" si="139"/>
        <v>105.40970747812706</v>
      </c>
    </row>
    <row r="177" spans="2:17">
      <c r="B177" s="182" t="s">
        <v>684</v>
      </c>
      <c r="C177" s="156"/>
      <c r="D177" s="156"/>
      <c r="E177" s="20"/>
      <c r="F177" s="21"/>
      <c r="G177" s="20"/>
      <c r="H177" s="20"/>
      <c r="I177" s="20"/>
      <c r="J177" s="37"/>
      <c r="K177" s="37"/>
      <c r="L177" s="37"/>
    </row>
    <row r="178" spans="2:17">
      <c r="B178" s="182"/>
      <c r="C178" s="156"/>
      <c r="D178" s="156"/>
      <c r="E178" s="20"/>
      <c r="F178" s="21"/>
      <c r="G178" s="20"/>
      <c r="H178" s="20"/>
      <c r="I178" s="20"/>
      <c r="J178" s="37"/>
      <c r="K178" s="37"/>
      <c r="L178" s="37"/>
    </row>
    <row r="179" spans="2:17" ht="28.5">
      <c r="B179" s="289" t="s">
        <v>157</v>
      </c>
      <c r="C179" s="289" t="s">
        <v>49</v>
      </c>
      <c r="D179" s="289" t="s">
        <v>557</v>
      </c>
      <c r="E179" s="314" t="s">
        <v>118</v>
      </c>
      <c r="F179" s="314" t="s">
        <v>119</v>
      </c>
      <c r="G179" s="314" t="s">
        <v>120</v>
      </c>
      <c r="H179" s="314" t="s">
        <v>121</v>
      </c>
      <c r="I179" s="314" t="s">
        <v>122</v>
      </c>
      <c r="J179" s="314" t="s">
        <v>123</v>
      </c>
      <c r="K179" s="314" t="s">
        <v>124</v>
      </c>
      <c r="L179" s="314" t="s">
        <v>125</v>
      </c>
      <c r="M179" s="314" t="s">
        <v>126</v>
      </c>
      <c r="N179" s="314" t="s">
        <v>127</v>
      </c>
      <c r="O179" s="314" t="s">
        <v>128</v>
      </c>
      <c r="P179" s="314" t="s">
        <v>129</v>
      </c>
      <c r="Q179" s="314" t="s">
        <v>115</v>
      </c>
    </row>
    <row r="180" spans="2:17">
      <c r="B180" s="93">
        <v>1</v>
      </c>
      <c r="C180" s="288" t="s">
        <v>431</v>
      </c>
      <c r="D180" s="288"/>
      <c r="E180" s="287"/>
      <c r="F180" s="29"/>
      <c r="G180" s="29"/>
      <c r="H180" s="29"/>
      <c r="I180" s="29"/>
      <c r="J180" s="29"/>
      <c r="K180" s="29"/>
      <c r="L180" s="29"/>
      <c r="M180" s="29"/>
      <c r="N180" s="29"/>
      <c r="O180" s="29"/>
      <c r="P180" s="29"/>
      <c r="Q180" s="29"/>
    </row>
    <row r="181" spans="2:17">
      <c r="B181" s="92">
        <v>1.1000000000000001</v>
      </c>
      <c r="C181" s="106" t="str">
        <f>C99</f>
        <v>Jindal Power Limited, Chhatisgarh</v>
      </c>
      <c r="D181" s="106">
        <v>10</v>
      </c>
      <c r="E181" s="456">
        <f>E99</f>
        <v>6.12</v>
      </c>
      <c r="F181" s="456">
        <f t="shared" ref="F181:P181" si="140">F99</f>
        <v>6.3239999999999998</v>
      </c>
      <c r="G181" s="456">
        <f t="shared" si="140"/>
        <v>6.12</v>
      </c>
      <c r="H181" s="456">
        <f t="shared" si="140"/>
        <v>6.3239999999999998</v>
      </c>
      <c r="I181" s="456">
        <f t="shared" si="140"/>
        <v>6.3239999999999998</v>
      </c>
      <c r="J181" s="456">
        <f t="shared" si="140"/>
        <v>6.12</v>
      </c>
      <c r="K181" s="456">
        <f t="shared" si="140"/>
        <v>6.3239999999999998</v>
      </c>
      <c r="L181" s="456">
        <f t="shared" si="140"/>
        <v>6.12</v>
      </c>
      <c r="M181" s="456">
        <f t="shared" si="140"/>
        <v>6.3239999999999998</v>
      </c>
      <c r="N181" s="456">
        <f t="shared" si="140"/>
        <v>6.3239999999999998</v>
      </c>
      <c r="O181" s="456">
        <f t="shared" si="140"/>
        <v>5.7119999999999997</v>
      </c>
      <c r="P181" s="456">
        <f t="shared" si="140"/>
        <v>6.3239999999999998</v>
      </c>
      <c r="Q181" s="680">
        <f>SUM(E181:P181)</f>
        <v>74.45999999999998</v>
      </c>
    </row>
    <row r="182" spans="2:17">
      <c r="B182" s="92">
        <v>1.2</v>
      </c>
      <c r="C182" s="106" t="str">
        <f>C100</f>
        <v>GMR Energy Trading Ltd.</v>
      </c>
      <c r="D182" s="106">
        <v>10</v>
      </c>
      <c r="E182" s="456">
        <f>E100</f>
        <v>2.8050000000000002</v>
      </c>
      <c r="F182" s="456">
        <f t="shared" ref="F182:P182" si="141">F100</f>
        <v>2.9325000000000001</v>
      </c>
      <c r="G182" s="456">
        <f t="shared" si="141"/>
        <v>2.8050000000000002</v>
      </c>
      <c r="H182" s="456">
        <f t="shared" si="141"/>
        <v>2.9325000000000001</v>
      </c>
      <c r="I182" s="456">
        <f t="shared" si="141"/>
        <v>2.9325000000000001</v>
      </c>
      <c r="J182" s="456">
        <f t="shared" si="141"/>
        <v>2.8050000000000002</v>
      </c>
      <c r="K182" s="456">
        <f t="shared" si="141"/>
        <v>2.9325000000000001</v>
      </c>
      <c r="L182" s="456">
        <f t="shared" si="141"/>
        <v>2.8050000000000002</v>
      </c>
      <c r="M182" s="456">
        <f t="shared" si="141"/>
        <v>2.9325000000000001</v>
      </c>
      <c r="N182" s="456">
        <f t="shared" si="141"/>
        <v>2.9325000000000001</v>
      </c>
      <c r="O182" s="456">
        <f t="shared" si="141"/>
        <v>2.5499999999999998</v>
      </c>
      <c r="P182" s="456">
        <f t="shared" si="141"/>
        <v>2.9325000000000001</v>
      </c>
      <c r="Q182" s="680">
        <f>SUM(E182:P182)</f>
        <v>34.297500000000007</v>
      </c>
    </row>
    <row r="183" spans="2:17">
      <c r="B183" s="93">
        <v>4</v>
      </c>
      <c r="C183" s="32" t="s">
        <v>551</v>
      </c>
      <c r="D183" s="32"/>
      <c r="E183" s="843">
        <f>SUM(E181:E182)</f>
        <v>8.9250000000000007</v>
      </c>
      <c r="F183" s="843">
        <f t="shared" ref="F183:Q183" si="142">SUM(F181:F182)</f>
        <v>9.2564999999999991</v>
      </c>
      <c r="G183" s="843">
        <f t="shared" si="142"/>
        <v>8.9250000000000007</v>
      </c>
      <c r="H183" s="843">
        <f t="shared" si="142"/>
        <v>9.2564999999999991</v>
      </c>
      <c r="I183" s="843">
        <f t="shared" si="142"/>
        <v>9.2564999999999991</v>
      </c>
      <c r="J183" s="843">
        <f t="shared" si="142"/>
        <v>8.9250000000000007</v>
      </c>
      <c r="K183" s="843">
        <f t="shared" si="142"/>
        <v>9.2564999999999991</v>
      </c>
      <c r="L183" s="843">
        <f t="shared" si="142"/>
        <v>8.9250000000000007</v>
      </c>
      <c r="M183" s="843">
        <f t="shared" si="142"/>
        <v>9.2564999999999991</v>
      </c>
      <c r="N183" s="843">
        <f t="shared" si="142"/>
        <v>9.2564999999999991</v>
      </c>
      <c r="O183" s="843">
        <f t="shared" si="142"/>
        <v>8.2620000000000005</v>
      </c>
      <c r="P183" s="843">
        <f t="shared" si="142"/>
        <v>9.2564999999999991</v>
      </c>
      <c r="Q183" s="682">
        <f t="shared" si="142"/>
        <v>108.75749999999999</v>
      </c>
    </row>
    <row r="185" spans="2:17">
      <c r="B185" s="182" t="s">
        <v>685</v>
      </c>
      <c r="C185" s="156"/>
      <c r="D185" s="156"/>
      <c r="E185" s="20"/>
      <c r="F185" s="21"/>
      <c r="G185" s="20"/>
      <c r="H185" s="20"/>
      <c r="I185" s="20"/>
      <c r="J185" s="37"/>
      <c r="K185" s="37"/>
      <c r="L185" s="37"/>
    </row>
    <row r="186" spans="2:17">
      <c r="B186" s="182"/>
      <c r="C186" s="156"/>
      <c r="D186" s="156"/>
      <c r="E186" s="20"/>
      <c r="F186" s="21"/>
      <c r="G186" s="20"/>
      <c r="H186" s="20"/>
      <c r="I186" s="20"/>
      <c r="J186" s="37"/>
      <c r="K186" s="37"/>
      <c r="L186" s="37"/>
    </row>
    <row r="187" spans="2:17" ht="28.5">
      <c r="B187" s="289" t="s">
        <v>157</v>
      </c>
      <c r="C187" s="289" t="s">
        <v>49</v>
      </c>
      <c r="D187" s="289" t="s">
        <v>557</v>
      </c>
      <c r="E187" s="314" t="s">
        <v>118</v>
      </c>
      <c r="F187" s="314" t="s">
        <v>119</v>
      </c>
      <c r="G187" s="314" t="s">
        <v>120</v>
      </c>
      <c r="H187" s="314" t="s">
        <v>121</v>
      </c>
      <c r="I187" s="314" t="s">
        <v>122</v>
      </c>
      <c r="J187" s="314" t="s">
        <v>123</v>
      </c>
      <c r="K187" s="314" t="s">
        <v>124</v>
      </c>
      <c r="L187" s="314" t="s">
        <v>125</v>
      </c>
      <c r="M187" s="314" t="s">
        <v>126</v>
      </c>
      <c r="N187" s="314" t="s">
        <v>127</v>
      </c>
      <c r="O187" s="314" t="s">
        <v>128</v>
      </c>
      <c r="P187" s="314" t="s">
        <v>129</v>
      </c>
      <c r="Q187" s="314" t="s">
        <v>115</v>
      </c>
    </row>
    <row r="188" spans="2:17">
      <c r="B188" s="93">
        <v>1</v>
      </c>
      <c r="C188" s="288" t="s">
        <v>431</v>
      </c>
      <c r="D188" s="288"/>
      <c r="E188" s="287"/>
      <c r="F188" s="29"/>
      <c r="G188" s="29"/>
      <c r="H188" s="29"/>
      <c r="I188" s="29"/>
      <c r="J188" s="29"/>
      <c r="K188" s="29"/>
      <c r="L188" s="29"/>
      <c r="M188" s="29"/>
      <c r="N188" s="29"/>
      <c r="O188" s="29"/>
      <c r="P188" s="29"/>
      <c r="Q188" s="29"/>
    </row>
    <row r="189" spans="2:17">
      <c r="B189" s="92">
        <v>1.1000000000000001</v>
      </c>
      <c r="C189" s="106" t="str">
        <f>C119</f>
        <v>Jindal Power Limited, Chhatisgarh</v>
      </c>
      <c r="D189" s="106">
        <v>10</v>
      </c>
      <c r="E189" s="456">
        <f>E119</f>
        <v>6.12</v>
      </c>
      <c r="F189" s="456">
        <f t="shared" ref="F189:P189" si="143">F119</f>
        <v>6.3239999999999998</v>
      </c>
      <c r="G189" s="456">
        <f t="shared" si="143"/>
        <v>6.12</v>
      </c>
      <c r="H189" s="456">
        <f t="shared" si="143"/>
        <v>6.3239999999999998</v>
      </c>
      <c r="I189" s="456">
        <f t="shared" si="143"/>
        <v>6.3239999999999998</v>
      </c>
      <c r="J189" s="456">
        <f t="shared" si="143"/>
        <v>6.12</v>
      </c>
      <c r="K189" s="456">
        <f t="shared" si="143"/>
        <v>6.3239999999999998</v>
      </c>
      <c r="L189" s="456">
        <f t="shared" si="143"/>
        <v>6.12</v>
      </c>
      <c r="M189" s="456">
        <f t="shared" si="143"/>
        <v>6.3239999999999998</v>
      </c>
      <c r="N189" s="456">
        <f t="shared" si="143"/>
        <v>6.3239999999999998</v>
      </c>
      <c r="O189" s="456">
        <f t="shared" si="143"/>
        <v>5.9160000000000004</v>
      </c>
      <c r="P189" s="456">
        <f t="shared" si="143"/>
        <v>6.3239999999999998</v>
      </c>
      <c r="Q189" s="680">
        <f>SUM(E189:P189)</f>
        <v>74.663999999999987</v>
      </c>
    </row>
    <row r="190" spans="2:17">
      <c r="B190" s="92">
        <v>1.2</v>
      </c>
      <c r="C190" s="106" t="str">
        <f>C120</f>
        <v>GMR Energy Trading Ltd.</v>
      </c>
      <c r="D190" s="106">
        <v>10</v>
      </c>
      <c r="E190" s="456">
        <f>E120</f>
        <v>2.8050000000000002</v>
      </c>
      <c r="F190" s="456">
        <f t="shared" ref="F190:P190" si="144">F120</f>
        <v>2.9325000000000001</v>
      </c>
      <c r="G190" s="456">
        <f t="shared" si="144"/>
        <v>2.8050000000000002</v>
      </c>
      <c r="H190" s="456">
        <f t="shared" si="144"/>
        <v>2.9325000000000001</v>
      </c>
      <c r="I190" s="456">
        <f t="shared" si="144"/>
        <v>2.9325000000000001</v>
      </c>
      <c r="J190" s="456">
        <f t="shared" si="144"/>
        <v>2.8050000000000002</v>
      </c>
      <c r="K190" s="456">
        <f t="shared" si="144"/>
        <v>2.9325000000000001</v>
      </c>
      <c r="L190" s="456">
        <f t="shared" si="144"/>
        <v>2.8050000000000002</v>
      </c>
      <c r="M190" s="456">
        <f t="shared" si="144"/>
        <v>2.9325000000000001</v>
      </c>
      <c r="N190" s="456">
        <f t="shared" si="144"/>
        <v>2.9325000000000001</v>
      </c>
      <c r="O190" s="456">
        <f t="shared" si="144"/>
        <v>2.6775000000000002</v>
      </c>
      <c r="P190" s="456">
        <f t="shared" si="144"/>
        <v>2.9325000000000001</v>
      </c>
      <c r="Q190" s="680">
        <f>SUM(E190:P190)</f>
        <v>34.425000000000004</v>
      </c>
    </row>
    <row r="191" spans="2:17">
      <c r="B191" s="92">
        <v>2</v>
      </c>
      <c r="C191" s="32" t="s">
        <v>551</v>
      </c>
      <c r="D191" s="106"/>
      <c r="E191" s="843">
        <f>SUM(E189:E190)</f>
        <v>8.9250000000000007</v>
      </c>
      <c r="F191" s="843">
        <f t="shared" ref="F191:P191" si="145">SUM(F189:F190)</f>
        <v>9.2564999999999991</v>
      </c>
      <c r="G191" s="843">
        <f t="shared" si="145"/>
        <v>8.9250000000000007</v>
      </c>
      <c r="H191" s="843">
        <f t="shared" si="145"/>
        <v>9.2564999999999991</v>
      </c>
      <c r="I191" s="843">
        <f t="shared" si="145"/>
        <v>9.2564999999999991</v>
      </c>
      <c r="J191" s="843">
        <f t="shared" si="145"/>
        <v>8.9250000000000007</v>
      </c>
      <c r="K191" s="843">
        <f t="shared" si="145"/>
        <v>9.2564999999999991</v>
      </c>
      <c r="L191" s="843">
        <f t="shared" si="145"/>
        <v>8.9250000000000007</v>
      </c>
      <c r="M191" s="843">
        <f t="shared" si="145"/>
        <v>9.2564999999999991</v>
      </c>
      <c r="N191" s="843">
        <f t="shared" si="145"/>
        <v>9.2564999999999991</v>
      </c>
      <c r="O191" s="843">
        <f t="shared" si="145"/>
        <v>8.5935000000000006</v>
      </c>
      <c r="P191" s="843">
        <f t="shared" si="145"/>
        <v>9.2564999999999991</v>
      </c>
      <c r="Q191" s="682">
        <f>SUM(Q189:Q190)</f>
        <v>109.089</v>
      </c>
    </row>
    <row r="193" spans="2:3">
      <c r="B193" s="212" t="s">
        <v>559</v>
      </c>
      <c r="C193" s="165"/>
    </row>
    <row r="194" spans="2:3">
      <c r="B194" s="91">
        <v>1</v>
      </c>
      <c r="C194" s="37" t="s">
        <v>587</v>
      </c>
    </row>
    <row r="195" spans="2:3">
      <c r="B195" s="91"/>
      <c r="C195" s="37"/>
    </row>
    <row r="196" spans="2:3">
      <c r="B196" s="91"/>
    </row>
  </sheetData>
  <mergeCells count="14">
    <mergeCell ref="B133:B134"/>
    <mergeCell ref="C133:C134"/>
    <mergeCell ref="Q170:Q171"/>
    <mergeCell ref="D133:E133"/>
    <mergeCell ref="F133:G133"/>
    <mergeCell ref="H133:I133"/>
    <mergeCell ref="J133:K133"/>
    <mergeCell ref="L133:M133"/>
    <mergeCell ref="B170:B171"/>
    <mergeCell ref="C170:C171"/>
    <mergeCell ref="D170:D171"/>
    <mergeCell ref="E170:J170"/>
    <mergeCell ref="K170:P170"/>
    <mergeCell ref="D152:D155"/>
  </mergeCells>
  <pageMargins left="0.35433070866141736" right="0.19685039370078741" top="0.47244094488188981" bottom="0.31496062992125984" header="0.23622047244094491" footer="0.23622047244094491"/>
  <pageSetup paperSize="9" scale="58" fitToHeight="0" orientation="landscape" r:id="rId1"/>
  <headerFooter alignWithMargins="0">
    <oddHeader>&amp;F</oddHeader>
  </headerFooter>
  <rowBreaks count="2" manualBreakCount="2">
    <brk id="65" max="17" man="1"/>
    <brk id="129" max="17"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B1:S15"/>
  <sheetViews>
    <sheetView showGridLines="0" view="pageBreakPreview" topLeftCell="B1" zoomScale="60" zoomScaleNormal="70" workbookViewId="0">
      <selection activeCell="C11" sqref="C11:C12"/>
    </sheetView>
  </sheetViews>
  <sheetFormatPr defaultColWidth="8.85546875" defaultRowHeight="15"/>
  <cols>
    <col min="1" max="1" width="8.85546875" style="171"/>
    <col min="2" max="2" width="7.28515625" style="171" bestFit="1" customWidth="1"/>
    <col min="3" max="3" width="35.42578125" style="171" customWidth="1"/>
    <col min="4" max="5" width="15.42578125" style="171" customWidth="1"/>
    <col min="6" max="6" width="17.28515625" style="171" customWidth="1"/>
    <col min="7" max="8" width="15.42578125" style="171" customWidth="1"/>
    <col min="9" max="9" width="18.28515625" style="171" customWidth="1"/>
    <col min="10" max="12" width="15.42578125" style="171" customWidth="1"/>
    <col min="13" max="13" width="16.85546875" style="171" customWidth="1"/>
    <col min="14" max="14" width="18.5703125" style="171" customWidth="1"/>
    <col min="15" max="15" width="15.42578125" style="171" customWidth="1"/>
    <col min="16" max="16" width="18.28515625" style="171" customWidth="1"/>
    <col min="17" max="17" width="15.42578125" style="171" customWidth="1"/>
    <col min="18" max="18" width="15.7109375" style="171" customWidth="1"/>
    <col min="19" max="19" width="12.7109375" style="171" customWidth="1"/>
    <col min="20" max="16384" width="8.85546875" style="171"/>
  </cols>
  <sheetData>
    <row r="1" spans="2:19">
      <c r="B1" s="87"/>
      <c r="C1" s="87"/>
      <c r="D1" s="87"/>
      <c r="E1" s="87"/>
      <c r="F1" s="87"/>
      <c r="G1" s="87"/>
      <c r="H1" s="87"/>
      <c r="I1" s="87"/>
      <c r="J1" s="87"/>
      <c r="K1" s="87"/>
      <c r="L1" s="87"/>
      <c r="M1" s="87"/>
    </row>
    <row r="2" spans="2:19">
      <c r="B2" s="87"/>
      <c r="C2" s="87"/>
      <c r="D2" s="87"/>
      <c r="F2" s="361"/>
      <c r="G2" s="361"/>
      <c r="H2" s="361"/>
      <c r="I2" s="375" t="s">
        <v>906</v>
      </c>
      <c r="J2" s="87"/>
      <c r="K2" s="87"/>
      <c r="L2" s="87"/>
      <c r="M2" s="87"/>
    </row>
    <row r="3" spans="2:19">
      <c r="B3" s="87"/>
      <c r="C3" s="87"/>
      <c r="D3" s="87"/>
      <c r="F3" s="358"/>
      <c r="G3" s="358"/>
      <c r="H3" s="358"/>
      <c r="I3" s="373" t="s">
        <v>723</v>
      </c>
      <c r="J3" s="87"/>
      <c r="K3" s="87"/>
      <c r="L3" s="87"/>
      <c r="M3" s="87"/>
    </row>
    <row r="4" spans="2:19">
      <c r="B4" s="184"/>
      <c r="C4" s="184"/>
      <c r="D4" s="184"/>
      <c r="F4" s="358"/>
      <c r="G4" s="358"/>
      <c r="H4" s="358"/>
      <c r="I4" s="317" t="s">
        <v>545</v>
      </c>
      <c r="J4" s="184"/>
      <c r="K4" s="184"/>
      <c r="L4" s="184"/>
      <c r="M4" s="184"/>
    </row>
    <row r="5" spans="2:19">
      <c r="B5" s="184"/>
      <c r="C5" s="184"/>
      <c r="D5" s="184"/>
      <c r="E5" s="184"/>
      <c r="F5" s="184"/>
      <c r="G5" s="184"/>
      <c r="H5" s="184"/>
      <c r="I5" s="184"/>
      <c r="J5" s="184"/>
      <c r="K5" s="184"/>
      <c r="L5" s="184"/>
      <c r="M5" s="184"/>
    </row>
    <row r="6" spans="2:19">
      <c r="B6" s="184"/>
      <c r="C6" s="184"/>
      <c r="D6" s="184"/>
      <c r="E6" s="184"/>
      <c r="F6" s="184"/>
      <c r="G6" s="184"/>
      <c r="H6" s="184"/>
      <c r="I6" s="184"/>
      <c r="J6" s="184"/>
      <c r="K6" s="184"/>
      <c r="L6" s="184"/>
      <c r="M6" s="184"/>
    </row>
    <row r="7" spans="2:19">
      <c r="B7" s="184"/>
      <c r="C7" s="184"/>
      <c r="D7" s="184"/>
      <c r="E7" s="184"/>
      <c r="F7" s="184"/>
      <c r="G7" s="184"/>
      <c r="H7" s="184"/>
      <c r="I7" s="184"/>
      <c r="J7" s="184"/>
      <c r="K7" s="184"/>
      <c r="L7" s="184"/>
      <c r="S7" s="266" t="s">
        <v>16</v>
      </c>
    </row>
    <row r="8" spans="2:19" s="389" customFormat="1" ht="12.6" customHeight="1">
      <c r="B8" s="1355" t="s">
        <v>157</v>
      </c>
      <c r="C8" s="1358" t="s">
        <v>49</v>
      </c>
      <c r="D8" s="1360" t="s">
        <v>38</v>
      </c>
      <c r="E8" s="1361"/>
      <c r="F8" s="1362"/>
      <c r="G8" s="1360" t="s">
        <v>146</v>
      </c>
      <c r="H8" s="1361"/>
      <c r="I8" s="1362"/>
      <c r="J8" s="1360" t="s">
        <v>147</v>
      </c>
      <c r="K8" s="1361"/>
      <c r="L8" s="1361"/>
      <c r="M8" s="1361"/>
      <c r="N8" s="1362"/>
      <c r="O8" s="1360" t="s">
        <v>148</v>
      </c>
      <c r="P8" s="1362"/>
      <c r="Q8" s="1363" t="s">
        <v>149</v>
      </c>
      <c r="R8" s="1363"/>
      <c r="S8" s="1363" t="s">
        <v>42</v>
      </c>
    </row>
    <row r="9" spans="2:19" s="389" customFormat="1" ht="45.6" customHeight="1">
      <c r="B9" s="1356"/>
      <c r="C9" s="1358"/>
      <c r="D9" s="409" t="s">
        <v>413</v>
      </c>
      <c r="E9" s="391" t="s">
        <v>414</v>
      </c>
      <c r="F9" s="391" t="s">
        <v>415</v>
      </c>
      <c r="G9" s="390" t="s">
        <v>413</v>
      </c>
      <c r="H9" s="391" t="s">
        <v>414</v>
      </c>
      <c r="I9" s="391" t="s">
        <v>415</v>
      </c>
      <c r="J9" s="391" t="s">
        <v>413</v>
      </c>
      <c r="K9" s="391" t="s">
        <v>416</v>
      </c>
      <c r="L9" s="391" t="s">
        <v>1314</v>
      </c>
      <c r="M9" s="391" t="s">
        <v>1315</v>
      </c>
      <c r="N9" s="391" t="s">
        <v>417</v>
      </c>
      <c r="O9" s="391" t="s">
        <v>413</v>
      </c>
      <c r="P9" s="391" t="s">
        <v>671</v>
      </c>
      <c r="Q9" s="391" t="s">
        <v>413</v>
      </c>
      <c r="R9" s="391" t="s">
        <v>671</v>
      </c>
      <c r="S9" s="1363"/>
    </row>
    <row r="10" spans="2:19" s="389" customFormat="1">
      <c r="B10" s="1357"/>
      <c r="C10" s="1359"/>
      <c r="D10" s="391" t="s">
        <v>72</v>
      </c>
      <c r="E10" s="391" t="s">
        <v>73</v>
      </c>
      <c r="F10" s="391" t="s">
        <v>705</v>
      </c>
      <c r="G10" s="391" t="s">
        <v>419</v>
      </c>
      <c r="H10" s="391" t="s">
        <v>420</v>
      </c>
      <c r="I10" s="391" t="s">
        <v>706</v>
      </c>
      <c r="J10" s="391" t="s">
        <v>676</v>
      </c>
      <c r="K10" s="391" t="s">
        <v>593</v>
      </c>
      <c r="L10" s="391" t="s">
        <v>677</v>
      </c>
      <c r="M10" s="391" t="s">
        <v>707</v>
      </c>
      <c r="N10" s="391" t="s">
        <v>708</v>
      </c>
      <c r="O10" s="391" t="s">
        <v>709</v>
      </c>
      <c r="P10" s="391" t="s">
        <v>596</v>
      </c>
      <c r="Q10" s="391" t="s">
        <v>710</v>
      </c>
      <c r="R10" s="391" t="s">
        <v>711</v>
      </c>
      <c r="S10" s="1364"/>
    </row>
    <row r="11" spans="2:19" s="394" customFormat="1" ht="18.600000000000001" customHeight="1">
      <c r="B11" s="393">
        <v>1</v>
      </c>
      <c r="C11" s="1163" t="s">
        <v>230</v>
      </c>
      <c r="D11" s="814">
        <v>0</v>
      </c>
      <c r="E11" s="844">
        <v>2.7167383200000002</v>
      </c>
      <c r="F11" s="844">
        <f>E11-D11</f>
        <v>2.7167383200000002</v>
      </c>
      <c r="G11" s="844">
        <v>4.04</v>
      </c>
      <c r="H11" s="844">
        <f>+(18314494/10^7)+(0.34*9)</f>
        <v>4.8914493999999999</v>
      </c>
      <c r="I11" s="844">
        <f>H11-G11</f>
        <v>0.85144939999999991</v>
      </c>
      <c r="J11" s="560">
        <v>5.18</v>
      </c>
      <c r="K11" s="560">
        <f>+(4300000+14000)/10^7*6</f>
        <v>2.5884</v>
      </c>
      <c r="L11" s="560">
        <f>+(4300000+14000)/10^7*6</f>
        <v>2.5884</v>
      </c>
      <c r="M11" s="560">
        <f>+K11+L11</f>
        <v>5.1768000000000001</v>
      </c>
      <c r="N11" s="560">
        <f>M11-J11</f>
        <v>-3.1999999999996476E-3</v>
      </c>
      <c r="O11" s="560">
        <v>5.79</v>
      </c>
      <c r="P11" s="560">
        <v>5.79</v>
      </c>
      <c r="Q11" s="560">
        <v>5.81</v>
      </c>
      <c r="R11" s="560">
        <v>5.81</v>
      </c>
      <c r="S11" s="140"/>
    </row>
    <row r="12" spans="2:19" s="394" customFormat="1" ht="18.600000000000001" customHeight="1">
      <c r="B12" s="393">
        <v>2</v>
      </c>
      <c r="C12" s="218" t="s">
        <v>397</v>
      </c>
      <c r="D12" s="814">
        <v>0</v>
      </c>
      <c r="E12" s="844">
        <v>8.9249999999999996E-2</v>
      </c>
      <c r="F12" s="844">
        <f>E12-D12</f>
        <v>8.9249999999999996E-2</v>
      </c>
      <c r="G12" s="844">
        <v>0.01</v>
      </c>
      <c r="H12" s="844">
        <f>(11000*9)/10^7</f>
        <v>9.9000000000000008E-3</v>
      </c>
      <c r="I12" s="844">
        <f>H12-G12</f>
        <v>-9.9999999999999395E-5</v>
      </c>
      <c r="J12" s="560">
        <v>0.02</v>
      </c>
      <c r="K12" s="844">
        <f>(14000*6)/10^7</f>
        <v>8.3999999999999995E-3</v>
      </c>
      <c r="L12" s="844">
        <f>(14000*6)/10^7</f>
        <v>8.3999999999999995E-3</v>
      </c>
      <c r="M12" s="560">
        <f>+K12+L12</f>
        <v>1.6799999999999999E-2</v>
      </c>
      <c r="N12" s="560">
        <f>M12-J12</f>
        <v>-3.2000000000000015E-3</v>
      </c>
      <c r="O12" s="560">
        <v>0.02</v>
      </c>
      <c r="P12" s="844">
        <f>(14000*12)/10^7</f>
        <v>1.6799999999999999E-2</v>
      </c>
      <c r="Q12" s="560">
        <v>0.02</v>
      </c>
      <c r="R12" s="844">
        <f>(15000*12)/10^7</f>
        <v>1.7999999999999999E-2</v>
      </c>
      <c r="S12" s="140"/>
    </row>
    <row r="14" spans="2:19">
      <c r="B14" s="18" t="s">
        <v>745</v>
      </c>
      <c r="C14" s="18" t="s">
        <v>747</v>
      </c>
    </row>
    <row r="15" spans="2:19">
      <c r="B15" s="171" t="s">
        <v>374</v>
      </c>
      <c r="C15" s="171" t="s">
        <v>1184</v>
      </c>
    </row>
  </sheetData>
  <mergeCells count="8">
    <mergeCell ref="J8:N8"/>
    <mergeCell ref="O8:P8"/>
    <mergeCell ref="Q8:R8"/>
    <mergeCell ref="S8:S10"/>
    <mergeCell ref="B8:B10"/>
    <mergeCell ref="C8:C10"/>
    <mergeCell ref="D8:F8"/>
    <mergeCell ref="G8:I8"/>
  </mergeCells>
  <pageMargins left="0.7" right="0.7" top="0.75" bottom="0.75" header="0.3" footer="0.3"/>
  <pageSetup paperSize="9" scale="43"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B1:T46"/>
  <sheetViews>
    <sheetView showGridLines="0" view="pageBreakPreview" topLeftCell="C1" zoomScale="60" zoomScaleNormal="80" workbookViewId="0">
      <selection activeCell="C11" sqref="C11:C12"/>
    </sheetView>
  </sheetViews>
  <sheetFormatPr defaultColWidth="9.140625" defaultRowHeight="15"/>
  <cols>
    <col min="1" max="1" width="4.140625" style="155" customWidth="1"/>
    <col min="2" max="2" width="8.42578125" style="155" customWidth="1"/>
    <col min="3" max="3" width="30" style="155" customWidth="1"/>
    <col min="4" max="4" width="21.140625" style="155" customWidth="1"/>
    <col min="5" max="5" width="17.5703125" style="155" customWidth="1"/>
    <col min="6" max="6" width="15.7109375" style="155" customWidth="1"/>
    <col min="7" max="7" width="17.85546875" style="155" customWidth="1"/>
    <col min="8" max="8" width="13" style="155" customWidth="1"/>
    <col min="9" max="10" width="18.7109375" style="155" customWidth="1"/>
    <col min="11" max="11" width="12.5703125" style="155" customWidth="1"/>
    <col min="12" max="12" width="14.85546875" style="155" customWidth="1"/>
    <col min="13" max="13" width="18.7109375" style="155" customWidth="1"/>
    <col min="14" max="14" width="17.85546875" style="155" customWidth="1"/>
    <col min="15" max="15" width="22.28515625" style="155" customWidth="1"/>
    <col min="16" max="16" width="11" style="155" customWidth="1"/>
    <col min="17" max="17" width="14.5703125" style="155" customWidth="1"/>
    <col min="18" max="18" width="9.85546875" style="155" customWidth="1"/>
    <col min="19" max="19" width="17.28515625" style="155" customWidth="1"/>
    <col min="20" max="20" width="16.5703125" style="155" customWidth="1"/>
    <col min="21" max="16384" width="9.140625" style="155"/>
  </cols>
  <sheetData>
    <row r="1" spans="2:20">
      <c r="B1" s="46"/>
    </row>
    <row r="2" spans="2:20">
      <c r="C2" s="87"/>
      <c r="D2" s="87"/>
      <c r="E2" s="87"/>
      <c r="F2" s="87"/>
      <c r="G2" s="87"/>
      <c r="H2" s="87"/>
      <c r="I2" s="87"/>
      <c r="J2" s="87"/>
      <c r="K2" s="87"/>
      <c r="L2" s="87"/>
      <c r="M2" s="87"/>
    </row>
    <row r="3" spans="2:20">
      <c r="C3" s="54"/>
      <c r="D3" s="54"/>
      <c r="E3" s="54"/>
      <c r="F3" s="54"/>
      <c r="G3" s="54"/>
      <c r="H3" s="990" t="s">
        <v>906</v>
      </c>
      <c r="I3" s="54"/>
      <c r="J3" s="54"/>
      <c r="K3" s="54"/>
      <c r="L3" s="54"/>
      <c r="M3" s="54"/>
    </row>
    <row r="4" spans="2:20">
      <c r="C4" s="87"/>
      <c r="D4" s="87"/>
      <c r="E4" s="87"/>
      <c r="F4" s="87"/>
      <c r="G4" s="87"/>
      <c r="H4" s="990" t="s">
        <v>724</v>
      </c>
      <c r="I4" s="87"/>
      <c r="J4" s="87"/>
      <c r="K4" s="87"/>
      <c r="L4" s="87"/>
      <c r="M4" s="87"/>
    </row>
    <row r="5" spans="2:20">
      <c r="B5" s="990"/>
      <c r="C5" s="184"/>
      <c r="D5" s="184"/>
      <c r="E5" s="184"/>
      <c r="F5" s="184"/>
      <c r="G5" s="184"/>
      <c r="H5" s="990" t="s">
        <v>292</v>
      </c>
      <c r="I5" s="184"/>
      <c r="J5" s="184"/>
      <c r="K5" s="184"/>
      <c r="L5" s="184"/>
      <c r="M5" s="184"/>
    </row>
    <row r="6" spans="2:20">
      <c r="B6" s="990"/>
      <c r="C6" s="184"/>
      <c r="D6" s="184"/>
      <c r="E6" s="184"/>
      <c r="F6" s="184"/>
      <c r="G6" s="184"/>
      <c r="H6" s="184"/>
      <c r="I6" s="184"/>
      <c r="J6" s="184"/>
      <c r="K6" s="184"/>
      <c r="L6" s="184"/>
      <c r="M6" s="184"/>
    </row>
    <row r="7" spans="2:20">
      <c r="B7" s="165" t="s">
        <v>256</v>
      </c>
      <c r="C7" s="52"/>
      <c r="D7" s="52"/>
      <c r="E7" s="52"/>
      <c r="F7" s="52"/>
      <c r="G7" s="52"/>
      <c r="H7" s="52"/>
      <c r="I7" s="693"/>
      <c r="J7" s="52"/>
      <c r="K7" s="52"/>
    </row>
    <row r="8" spans="2:20">
      <c r="Q8" s="26"/>
      <c r="T8" s="26" t="s">
        <v>16</v>
      </c>
    </row>
    <row r="9" spans="2:20" s="18" customFormat="1">
      <c r="B9" s="1404" t="s">
        <v>157</v>
      </c>
      <c r="C9" s="1365" t="s">
        <v>49</v>
      </c>
      <c r="D9" s="1365" t="s">
        <v>10</v>
      </c>
      <c r="E9" s="1380" t="s">
        <v>38</v>
      </c>
      <c r="F9" s="1381"/>
      <c r="G9" s="1382"/>
      <c r="H9" s="1380" t="s">
        <v>146</v>
      </c>
      <c r="I9" s="1381"/>
      <c r="J9" s="1382"/>
      <c r="K9" s="1365" t="s">
        <v>147</v>
      </c>
      <c r="L9" s="1365"/>
      <c r="M9" s="1365"/>
      <c r="N9" s="1365"/>
      <c r="O9" s="1365"/>
      <c r="P9" s="1365" t="s">
        <v>148</v>
      </c>
      <c r="Q9" s="1365"/>
      <c r="R9" s="1365" t="s">
        <v>149</v>
      </c>
      <c r="S9" s="1365"/>
      <c r="T9" s="1404" t="s">
        <v>42</v>
      </c>
    </row>
    <row r="10" spans="2:20" s="18" customFormat="1" ht="39.75" customHeight="1">
      <c r="B10" s="1415"/>
      <c r="C10" s="1365"/>
      <c r="D10" s="1365"/>
      <c r="E10" s="1068" t="s">
        <v>413</v>
      </c>
      <c r="F10" s="1069" t="s">
        <v>414</v>
      </c>
      <c r="G10" s="1069" t="s">
        <v>415</v>
      </c>
      <c r="H10" s="1069" t="s">
        <v>413</v>
      </c>
      <c r="I10" s="1069" t="s">
        <v>414</v>
      </c>
      <c r="J10" s="1069" t="s">
        <v>415</v>
      </c>
      <c r="K10" s="1069" t="s">
        <v>413</v>
      </c>
      <c r="L10" s="1069" t="s">
        <v>416</v>
      </c>
      <c r="M10" s="1069" t="s">
        <v>335</v>
      </c>
      <c r="N10" s="1069" t="s">
        <v>71</v>
      </c>
      <c r="O10" s="1069" t="s">
        <v>417</v>
      </c>
      <c r="P10" s="1069" t="s">
        <v>413</v>
      </c>
      <c r="Q10" s="1069" t="s">
        <v>689</v>
      </c>
      <c r="R10" s="1069" t="s">
        <v>413</v>
      </c>
      <c r="S10" s="1069" t="s">
        <v>689</v>
      </c>
      <c r="T10" s="1415"/>
    </row>
    <row r="11" spans="2:20" s="18" customFormat="1">
      <c r="B11" s="1416"/>
      <c r="C11" s="1417"/>
      <c r="D11" s="1417"/>
      <c r="E11" s="1069" t="s">
        <v>72</v>
      </c>
      <c r="F11" s="1069" t="s">
        <v>73</v>
      </c>
      <c r="G11" s="1069" t="s">
        <v>418</v>
      </c>
      <c r="H11" s="1069" t="s">
        <v>419</v>
      </c>
      <c r="I11" s="1069" t="s">
        <v>420</v>
      </c>
      <c r="J11" s="1069" t="s">
        <v>675</v>
      </c>
      <c r="K11" s="1069" t="s">
        <v>676</v>
      </c>
      <c r="L11" s="1069" t="s">
        <v>593</v>
      </c>
      <c r="M11" s="1069" t="s">
        <v>677</v>
      </c>
      <c r="N11" s="1069" t="s">
        <v>678</v>
      </c>
      <c r="O11" s="1069" t="s">
        <v>679</v>
      </c>
      <c r="P11" s="1068" t="s">
        <v>709</v>
      </c>
      <c r="Q11" s="1068" t="s">
        <v>596</v>
      </c>
      <c r="R11" s="1068" t="s">
        <v>710</v>
      </c>
      <c r="S11" s="1068" t="s">
        <v>711</v>
      </c>
      <c r="T11" s="1405"/>
    </row>
    <row r="12" spans="2:20" s="74" customFormat="1">
      <c r="B12" s="143">
        <v>1</v>
      </c>
      <c r="C12" s="140" t="s">
        <v>83</v>
      </c>
      <c r="D12" s="233" t="s">
        <v>444</v>
      </c>
      <c r="E12" s="233"/>
      <c r="F12" s="144"/>
      <c r="G12" s="144"/>
      <c r="H12" s="144"/>
      <c r="I12" s="1006"/>
      <c r="J12" s="1006"/>
      <c r="K12" s="1006"/>
      <c r="L12" s="1006"/>
      <c r="M12" s="1006"/>
      <c r="N12" s="1006"/>
      <c r="O12" s="1006"/>
      <c r="P12" s="140"/>
      <c r="Q12" s="140"/>
      <c r="R12" s="1006"/>
      <c r="S12" s="1006"/>
      <c r="T12" s="140"/>
    </row>
    <row r="13" spans="2:20" s="74" customFormat="1">
      <c r="B13" s="143">
        <f>B12+1</f>
        <v>2</v>
      </c>
      <c r="C13" s="75" t="s">
        <v>84</v>
      </c>
      <c r="D13" s="233" t="s">
        <v>61</v>
      </c>
      <c r="E13" s="1412">
        <f>('F3.1'!F22*356/366)+0.01</f>
        <v>2.0682266981114754</v>
      </c>
      <c r="F13" s="691">
        <f>'F3.3'!D12</f>
        <v>1.86261231</v>
      </c>
      <c r="G13" s="1412"/>
      <c r="H13" s="1412">
        <v>2.1800000000000002</v>
      </c>
      <c r="I13" s="691">
        <f>'F3.3'!E12</f>
        <v>2.1010896400000001</v>
      </c>
      <c r="J13" s="829"/>
      <c r="K13" s="1411">
        <v>2.2400000000000002</v>
      </c>
      <c r="L13" s="691">
        <f>'F3.3'!F12</f>
        <v>0.63818566500000007</v>
      </c>
      <c r="M13" s="691">
        <f>'F3.3'!G12</f>
        <v>1.7420565572109443</v>
      </c>
      <c r="N13" s="691">
        <f>'F3.3'!H12</f>
        <v>2.3802422222109443</v>
      </c>
      <c r="O13" s="1411"/>
      <c r="P13" s="1412">
        <v>2.31</v>
      </c>
      <c r="Q13" s="1412">
        <f>+'F3.2'!M11</f>
        <v>3.9914103655372375</v>
      </c>
      <c r="R13" s="1412">
        <v>2.38</v>
      </c>
      <c r="S13" s="1412">
        <f>+'F3.2'!O11</f>
        <v>4.4422971895463563</v>
      </c>
      <c r="T13" s="140"/>
    </row>
    <row r="14" spans="2:20" s="74" customFormat="1">
      <c r="B14" s="143">
        <f t="shared" ref="B14:B16" si="0">B13+1</f>
        <v>3</v>
      </c>
      <c r="C14" s="75" t="s">
        <v>85</v>
      </c>
      <c r="D14" s="233" t="s">
        <v>62</v>
      </c>
      <c r="E14" s="1413"/>
      <c r="F14" s="691">
        <f>'F3.5'!D17</f>
        <v>0.99985710500000002</v>
      </c>
      <c r="G14" s="1413"/>
      <c r="H14" s="1413"/>
      <c r="I14" s="691">
        <f>'F3.5'!E17</f>
        <v>1.07623724</v>
      </c>
      <c r="J14" s="829"/>
      <c r="K14" s="1411"/>
      <c r="L14" s="691">
        <f>'F3.5'!F17</f>
        <v>0.49426429</v>
      </c>
      <c r="M14" s="691">
        <f>'F3.5'!G17</f>
        <v>0.49426429</v>
      </c>
      <c r="N14" s="691">
        <f>'F3.5'!H17</f>
        <v>0.98852857999999999</v>
      </c>
      <c r="O14" s="1411"/>
      <c r="P14" s="1413"/>
      <c r="Q14" s="1413"/>
      <c r="R14" s="1413"/>
      <c r="S14" s="1413"/>
      <c r="T14" s="140"/>
    </row>
    <row r="15" spans="2:20" s="76" customFormat="1">
      <c r="B15" s="143">
        <f t="shared" si="0"/>
        <v>4</v>
      </c>
      <c r="C15" s="75" t="s">
        <v>86</v>
      </c>
      <c r="D15" s="233" t="s">
        <v>349</v>
      </c>
      <c r="E15" s="1414"/>
      <c r="F15" s="691">
        <f>'F3.4'!D28</f>
        <v>0.34450845000000002</v>
      </c>
      <c r="G15" s="1414"/>
      <c r="H15" s="1414"/>
      <c r="I15" s="691">
        <f>'F3.4'!E28</f>
        <v>0.19445003500000005</v>
      </c>
      <c r="J15" s="830"/>
      <c r="K15" s="1411"/>
      <c r="L15" s="691">
        <f>'F3.4'!F28</f>
        <v>5.909689500000001E-2</v>
      </c>
      <c r="M15" s="691">
        <f>'F3.4'!G28</f>
        <v>0.11954689500000001</v>
      </c>
      <c r="N15" s="691">
        <f>'F3.4'!H28</f>
        <v>0.17864379000000002</v>
      </c>
      <c r="O15" s="1411"/>
      <c r="P15" s="1414"/>
      <c r="Q15" s="1414"/>
      <c r="R15" s="1414"/>
      <c r="S15" s="1414"/>
      <c r="T15" s="144"/>
    </row>
    <row r="16" spans="2:20" s="54" customFormat="1">
      <c r="B16" s="143">
        <f t="shared" si="0"/>
        <v>5</v>
      </c>
      <c r="C16" s="147" t="s">
        <v>293</v>
      </c>
      <c r="D16" s="146"/>
      <c r="E16" s="695">
        <f>SUM(E13)</f>
        <v>2.0682266981114754</v>
      </c>
      <c r="F16" s="692">
        <f>SUM(F13:F15)</f>
        <v>3.2069778650000003</v>
      </c>
      <c r="G16" s="692">
        <f>F16-E16</f>
        <v>1.1387511668885248</v>
      </c>
      <c r="H16" s="695">
        <f>SUM(H13)</f>
        <v>2.1800000000000002</v>
      </c>
      <c r="I16" s="692">
        <f>SUM(I13:I15)</f>
        <v>3.3717769149999999</v>
      </c>
      <c r="J16" s="692">
        <f>I16-H16</f>
        <v>1.1917769149999997</v>
      </c>
      <c r="K16" s="695">
        <f>SUM(K13)</f>
        <v>2.2400000000000002</v>
      </c>
      <c r="L16" s="692">
        <f>SUM(L13:L15)</f>
        <v>1.1915468499999999</v>
      </c>
      <c r="M16" s="692">
        <f t="shared" ref="M16:N16" si="1">SUM(M13:M15)</f>
        <v>2.3558677422109442</v>
      </c>
      <c r="N16" s="692">
        <f t="shared" si="1"/>
        <v>3.5474145922109446</v>
      </c>
      <c r="O16" s="692">
        <f>N16-K16</f>
        <v>1.3074145922109444</v>
      </c>
      <c r="P16" s="695">
        <f>SUM(P13)</f>
        <v>2.31</v>
      </c>
      <c r="Q16" s="468">
        <f>SUM(Q13)</f>
        <v>3.9914103655372375</v>
      </c>
      <c r="R16" s="468">
        <f>SUM(R13)</f>
        <v>2.38</v>
      </c>
      <c r="S16" s="468">
        <f>SUM(S13)</f>
        <v>4.4422971895463563</v>
      </c>
      <c r="T16" s="367"/>
    </row>
    <row r="17" spans="2:20" s="54" customFormat="1">
      <c r="B17" s="271"/>
      <c r="C17" s="272"/>
      <c r="D17" s="273"/>
      <c r="E17" s="273"/>
      <c r="F17" s="274"/>
      <c r="G17" s="274"/>
      <c r="H17" s="274"/>
      <c r="I17" s="274"/>
      <c r="J17" s="694"/>
      <c r="K17" s="274"/>
      <c r="L17" s="274"/>
      <c r="M17" s="274"/>
      <c r="P17" s="697"/>
    </row>
    <row r="18" spans="2:20">
      <c r="B18" s="18" t="s">
        <v>745</v>
      </c>
      <c r="C18" s="18" t="s">
        <v>747</v>
      </c>
    </row>
    <row r="19" spans="2:20">
      <c r="B19" s="18"/>
      <c r="C19" s="18"/>
    </row>
    <row r="20" spans="2:20">
      <c r="B20" s="165" t="s">
        <v>257</v>
      </c>
    </row>
    <row r="21" spans="2:20">
      <c r="T21" s="26" t="s">
        <v>16</v>
      </c>
    </row>
    <row r="22" spans="2:20" s="18" customFormat="1">
      <c r="B22" s="1404" t="s">
        <v>157</v>
      </c>
      <c r="C22" s="1365" t="s">
        <v>49</v>
      </c>
      <c r="D22" s="1365" t="s">
        <v>10</v>
      </c>
      <c r="E22" s="1380" t="s">
        <v>38</v>
      </c>
      <c r="F22" s="1381"/>
      <c r="G22" s="1382"/>
      <c r="H22" s="1380" t="s">
        <v>146</v>
      </c>
      <c r="I22" s="1381"/>
      <c r="J22" s="1382"/>
      <c r="K22" s="1365" t="s">
        <v>147</v>
      </c>
      <c r="L22" s="1365"/>
      <c r="M22" s="1365"/>
      <c r="N22" s="1365"/>
      <c r="O22" s="1365"/>
      <c r="P22" s="1365" t="s">
        <v>148</v>
      </c>
      <c r="Q22" s="1365"/>
      <c r="R22" s="1365" t="s">
        <v>149</v>
      </c>
      <c r="S22" s="1365"/>
      <c r="T22" s="1404" t="s">
        <v>42</v>
      </c>
    </row>
    <row r="23" spans="2:20" s="18" customFormat="1" ht="28.5">
      <c r="B23" s="1415"/>
      <c r="C23" s="1365"/>
      <c r="D23" s="1365"/>
      <c r="E23" s="1068" t="s">
        <v>746</v>
      </c>
      <c r="F23" s="1069" t="s">
        <v>414</v>
      </c>
      <c r="G23" s="1069" t="s">
        <v>415</v>
      </c>
      <c r="H23" s="1069" t="s">
        <v>413</v>
      </c>
      <c r="I23" s="1069" t="s">
        <v>414</v>
      </c>
      <c r="J23" s="1069" t="s">
        <v>415</v>
      </c>
      <c r="K23" s="1069" t="s">
        <v>413</v>
      </c>
      <c r="L23" s="1069" t="s">
        <v>416</v>
      </c>
      <c r="M23" s="1069" t="s">
        <v>335</v>
      </c>
      <c r="N23" s="1069" t="s">
        <v>71</v>
      </c>
      <c r="O23" s="1069" t="s">
        <v>417</v>
      </c>
      <c r="P23" s="1069" t="s">
        <v>413</v>
      </c>
      <c r="Q23" s="1069" t="s">
        <v>689</v>
      </c>
      <c r="R23" s="1069" t="s">
        <v>413</v>
      </c>
      <c r="S23" s="1069" t="s">
        <v>689</v>
      </c>
      <c r="T23" s="1415"/>
    </row>
    <row r="24" spans="2:20" s="18" customFormat="1">
      <c r="B24" s="1416"/>
      <c r="C24" s="1417"/>
      <c r="D24" s="1417"/>
      <c r="E24" s="1069" t="s">
        <v>72</v>
      </c>
      <c r="F24" s="1069" t="s">
        <v>73</v>
      </c>
      <c r="G24" s="1069" t="s">
        <v>418</v>
      </c>
      <c r="H24" s="1069" t="s">
        <v>419</v>
      </c>
      <c r="I24" s="1069" t="s">
        <v>420</v>
      </c>
      <c r="J24" s="1069" t="s">
        <v>675</v>
      </c>
      <c r="K24" s="1069" t="s">
        <v>676</v>
      </c>
      <c r="L24" s="1069" t="s">
        <v>593</v>
      </c>
      <c r="M24" s="1069" t="s">
        <v>677</v>
      </c>
      <c r="N24" s="1069" t="s">
        <v>678</v>
      </c>
      <c r="O24" s="1069" t="s">
        <v>679</v>
      </c>
      <c r="P24" s="1068" t="s">
        <v>709</v>
      </c>
      <c r="Q24" s="1068" t="s">
        <v>596</v>
      </c>
      <c r="R24" s="1068" t="s">
        <v>710</v>
      </c>
      <c r="S24" s="1068" t="s">
        <v>711</v>
      </c>
      <c r="T24" s="1405"/>
    </row>
    <row r="25" spans="2:20" s="74" customFormat="1">
      <c r="B25" s="143">
        <v>1</v>
      </c>
      <c r="C25" s="140" t="s">
        <v>83</v>
      </c>
      <c r="D25" s="233" t="s">
        <v>444</v>
      </c>
      <c r="E25" s="233"/>
      <c r="F25" s="144"/>
      <c r="G25" s="144"/>
      <c r="H25" s="144"/>
      <c r="I25" s="1006"/>
      <c r="J25" s="1006"/>
      <c r="K25" s="1006"/>
      <c r="L25" s="1006"/>
      <c r="M25" s="1006"/>
      <c r="N25" s="1006"/>
      <c r="O25" s="1006"/>
      <c r="P25" s="140"/>
      <c r="Q25" s="140"/>
      <c r="R25" s="1006"/>
      <c r="S25" s="1006"/>
      <c r="T25" s="140"/>
    </row>
    <row r="26" spans="2:20" s="74" customFormat="1">
      <c r="B26" s="143">
        <f>B25+1</f>
        <v>2</v>
      </c>
      <c r="C26" s="75" t="s">
        <v>84</v>
      </c>
      <c r="D26" s="233" t="s">
        <v>61</v>
      </c>
      <c r="E26" s="1412">
        <f>'F3.1'!F41*356/366</f>
        <v>1.0060714393019432</v>
      </c>
      <c r="F26" s="691">
        <f>'F3.3'!D18</f>
        <v>1.0029450900000001</v>
      </c>
      <c r="G26" s="1412"/>
      <c r="H26" s="1412">
        <v>1.0649999999999999</v>
      </c>
      <c r="I26" s="691">
        <f>'F3.3'!E18</f>
        <v>1.13135596</v>
      </c>
      <c r="J26" s="1412"/>
      <c r="K26" s="1411">
        <v>1.1000000000000001</v>
      </c>
      <c r="L26" s="691">
        <f>'F3.3'!F18</f>
        <v>0.34363843499999991</v>
      </c>
      <c r="M26" s="691">
        <f>'F3.3'!G18</f>
        <v>0.93803045388281614</v>
      </c>
      <c r="N26" s="691">
        <f>'F3.3'!H18</f>
        <v>1.281668888882816</v>
      </c>
      <c r="O26" s="1411"/>
      <c r="P26" s="1412">
        <v>1.1299999999999999</v>
      </c>
      <c r="Q26" s="1412">
        <f>+'F3.2'!M23</f>
        <v>2.1492209660585124</v>
      </c>
      <c r="R26" s="1412">
        <v>1.1599999999999999</v>
      </c>
      <c r="S26" s="1412">
        <f>+'F3.2'!O23</f>
        <v>2.3920061789864988</v>
      </c>
      <c r="T26" s="140"/>
    </row>
    <row r="27" spans="2:20" s="74" customFormat="1">
      <c r="B27" s="143">
        <f t="shared" ref="B27:B29" si="2">B26+1</f>
        <v>3</v>
      </c>
      <c r="C27" s="75" t="s">
        <v>85</v>
      </c>
      <c r="D27" s="233" t="s">
        <v>62</v>
      </c>
      <c r="E27" s="1413"/>
      <c r="F27" s="691">
        <f>'F3.5'!D29</f>
        <v>0.53838459500000002</v>
      </c>
      <c r="G27" s="1413"/>
      <c r="H27" s="1413"/>
      <c r="I27" s="691">
        <f>'F3.5'!E29</f>
        <v>0.57951236000000006</v>
      </c>
      <c r="J27" s="1413"/>
      <c r="K27" s="1411"/>
      <c r="L27" s="691">
        <f>'F3.5'!F29</f>
        <v>0.26614230999999999</v>
      </c>
      <c r="M27" s="691">
        <f>'F3.5'!G29</f>
        <v>0.26614230999999999</v>
      </c>
      <c r="N27" s="691">
        <f>'F3.5'!H29</f>
        <v>0.53228461999999999</v>
      </c>
      <c r="O27" s="1411"/>
      <c r="P27" s="1413"/>
      <c r="Q27" s="1413"/>
      <c r="R27" s="1413"/>
      <c r="S27" s="1413"/>
      <c r="T27" s="140"/>
    </row>
    <row r="28" spans="2:20" s="76" customFormat="1">
      <c r="B28" s="143">
        <f t="shared" si="2"/>
        <v>4</v>
      </c>
      <c r="C28" s="75" t="s">
        <v>86</v>
      </c>
      <c r="D28" s="233" t="s">
        <v>349</v>
      </c>
      <c r="E28" s="1414"/>
      <c r="F28" s="691">
        <f>'F3.4'!D52</f>
        <v>0.18550454999999999</v>
      </c>
      <c r="G28" s="1414"/>
      <c r="H28" s="1414"/>
      <c r="I28" s="691">
        <f>'F3.4'!E52</f>
        <v>0.10470386500000001</v>
      </c>
      <c r="J28" s="1414"/>
      <c r="K28" s="1411"/>
      <c r="L28" s="691">
        <f>'F3.4'!F52</f>
        <v>3.1821404999999997E-2</v>
      </c>
      <c r="M28" s="691">
        <f>'F3.4'!G52</f>
        <v>6.4371404999999993E-2</v>
      </c>
      <c r="N28" s="691">
        <f>'F3.4'!H52</f>
        <v>9.619280999999999E-2</v>
      </c>
      <c r="O28" s="1411"/>
      <c r="P28" s="1414"/>
      <c r="Q28" s="1414"/>
      <c r="R28" s="1414"/>
      <c r="S28" s="1414"/>
      <c r="T28" s="144"/>
    </row>
    <row r="29" spans="2:20" s="54" customFormat="1">
      <c r="B29" s="143">
        <f t="shared" si="2"/>
        <v>5</v>
      </c>
      <c r="C29" s="147" t="s">
        <v>293</v>
      </c>
      <c r="D29" s="146"/>
      <c r="E29" s="695">
        <f>SUM(E26)</f>
        <v>1.0060714393019432</v>
      </c>
      <c r="F29" s="692">
        <f>SUM(F26:F28)</f>
        <v>1.7268342350000001</v>
      </c>
      <c r="G29" s="692">
        <f>F29-E29</f>
        <v>0.7207627956980569</v>
      </c>
      <c r="H29" s="695">
        <f>SUM(H26)</f>
        <v>1.0649999999999999</v>
      </c>
      <c r="I29" s="692">
        <f>SUM(I26:I28)</f>
        <v>1.8155721850000002</v>
      </c>
      <c r="J29" s="692">
        <f>I29-H29</f>
        <v>0.75057218500000022</v>
      </c>
      <c r="K29" s="695">
        <f>SUM(K26)</f>
        <v>1.1000000000000001</v>
      </c>
      <c r="L29" s="692">
        <f>SUM(L26:L28)</f>
        <v>0.64160214999999987</v>
      </c>
      <c r="M29" s="692">
        <f t="shared" ref="M29:N29" si="3">SUM(M26:M28)</f>
        <v>1.2685441688828161</v>
      </c>
      <c r="N29" s="692">
        <f t="shared" si="3"/>
        <v>1.9101463188828161</v>
      </c>
      <c r="O29" s="692">
        <f>N29-K29</f>
        <v>0.81014631888281596</v>
      </c>
      <c r="P29" s="695">
        <f>SUM(P26)</f>
        <v>1.1299999999999999</v>
      </c>
      <c r="Q29" s="695">
        <f>SUM(Q26)</f>
        <v>2.1492209660585124</v>
      </c>
      <c r="R29" s="695">
        <f>SUM(R26)</f>
        <v>1.1599999999999999</v>
      </c>
      <c r="S29" s="695">
        <f>SUM(S26)</f>
        <v>2.3920061789864988</v>
      </c>
      <c r="T29" s="367"/>
    </row>
    <row r="30" spans="2:20" s="54" customFormat="1">
      <c r="B30" s="271"/>
      <c r="C30" s="272"/>
      <c r="D30" s="273"/>
      <c r="E30" s="273"/>
      <c r="F30" s="274"/>
      <c r="G30" s="274"/>
      <c r="H30" s="274"/>
      <c r="I30" s="274"/>
      <c r="J30" s="274"/>
      <c r="K30" s="274"/>
      <c r="L30" s="274"/>
      <c r="M30" s="274"/>
    </row>
    <row r="31" spans="2:20">
      <c r="B31" s="18" t="s">
        <v>745</v>
      </c>
      <c r="C31" s="18" t="s">
        <v>747</v>
      </c>
    </row>
    <row r="33" spans="2:9">
      <c r="F33" s="834"/>
      <c r="I33" s="834">
        <f>+I13+I26</f>
        <v>3.2324456000000001</v>
      </c>
    </row>
    <row r="34" spans="2:9">
      <c r="B34" s="48"/>
      <c r="C34" s="917"/>
      <c r="D34" s="917"/>
      <c r="E34" s="916"/>
      <c r="F34" s="834"/>
      <c r="G34" s="48"/>
      <c r="I34" s="834">
        <f>+I14+I27</f>
        <v>1.6557496</v>
      </c>
    </row>
    <row r="35" spans="2:9">
      <c r="B35" s="48"/>
      <c r="C35" s="917"/>
      <c r="D35" s="917"/>
      <c r="E35" s="916"/>
      <c r="F35" s="834"/>
      <c r="G35" s="384"/>
      <c r="I35" s="834">
        <f>+I15+I28</f>
        <v>0.29915390000000008</v>
      </c>
    </row>
    <row r="36" spans="2:9">
      <c r="B36" s="1007"/>
      <c r="C36" s="76"/>
      <c r="D36" s="76"/>
      <c r="E36" s="916"/>
      <c r="F36" s="1201"/>
      <c r="G36" s="384"/>
    </row>
    <row r="37" spans="2:9">
      <c r="B37" s="1008"/>
      <c r="C37" s="1009"/>
      <c r="D37" s="1010"/>
      <c r="E37" s="1010"/>
      <c r="F37" s="384"/>
      <c r="G37" s="384"/>
    </row>
    <row r="38" spans="2:9">
      <c r="B38" s="271"/>
      <c r="C38" s="912"/>
      <c r="D38" s="1005"/>
      <c r="E38" s="830"/>
      <c r="F38" s="913"/>
      <c r="G38" s="830"/>
    </row>
    <row r="39" spans="2:9">
      <c r="B39" s="271"/>
      <c r="C39" s="912"/>
      <c r="D39" s="1005"/>
      <c r="E39" s="830"/>
      <c r="F39" s="913"/>
      <c r="G39" s="830"/>
    </row>
    <row r="40" spans="2:9">
      <c r="B40" s="271"/>
      <c r="C40" s="912"/>
      <c r="D40" s="1005"/>
      <c r="E40" s="830"/>
      <c r="F40" s="913"/>
      <c r="G40" s="830"/>
    </row>
    <row r="41" spans="2:9">
      <c r="B41" s="271"/>
      <c r="C41" s="274"/>
      <c r="D41" s="1005"/>
      <c r="E41" s="914"/>
      <c r="F41" s="915"/>
      <c r="G41" s="915"/>
    </row>
    <row r="42" spans="2:9">
      <c r="B42" s="1008"/>
      <c r="C42" s="1009"/>
      <c r="D42" s="1010"/>
      <c r="E42" s="1010"/>
      <c r="F42" s="16"/>
      <c r="G42" s="16"/>
    </row>
    <row r="43" spans="2:9">
      <c r="B43" s="271"/>
      <c r="C43" s="912"/>
      <c r="D43" s="1011"/>
      <c r="E43" s="1012"/>
      <c r="F43" s="16"/>
      <c r="G43" s="16"/>
    </row>
    <row r="44" spans="2:9">
      <c r="B44" s="271"/>
      <c r="C44" s="912"/>
      <c r="D44" s="1011"/>
      <c r="E44" s="76"/>
      <c r="F44" s="16"/>
      <c r="G44" s="16"/>
    </row>
    <row r="45" spans="2:9">
      <c r="B45" s="271"/>
      <c r="C45" s="912"/>
      <c r="D45" s="1011"/>
      <c r="E45" s="76"/>
      <c r="F45" s="16"/>
      <c r="G45" s="16"/>
    </row>
    <row r="46" spans="2:9">
      <c r="B46" s="271"/>
      <c r="C46" s="274"/>
      <c r="D46" s="1011"/>
      <c r="E46" s="1010"/>
      <c r="F46" s="16"/>
      <c r="G46" s="16"/>
    </row>
  </sheetData>
  <mergeCells count="37">
    <mergeCell ref="P13:P15"/>
    <mergeCell ref="Q13:Q15"/>
    <mergeCell ref="R13:R15"/>
    <mergeCell ref="S13:S15"/>
    <mergeCell ref="P26:P28"/>
    <mergeCell ref="Q26:Q28"/>
    <mergeCell ref="R26:R28"/>
    <mergeCell ref="S26:S28"/>
    <mergeCell ref="G13:G15"/>
    <mergeCell ref="H9:J9"/>
    <mergeCell ref="K9:O9"/>
    <mergeCell ref="B9:B11"/>
    <mergeCell ref="C9:C11"/>
    <mergeCell ref="D9:D11"/>
    <mergeCell ref="E9:G9"/>
    <mergeCell ref="T9:T11"/>
    <mergeCell ref="B22:B24"/>
    <mergeCell ref="C22:C24"/>
    <mergeCell ref="D22:D24"/>
    <mergeCell ref="E22:G22"/>
    <mergeCell ref="H22:J22"/>
    <mergeCell ref="K22:O22"/>
    <mergeCell ref="P22:Q22"/>
    <mergeCell ref="R22:S22"/>
    <mergeCell ref="T22:T24"/>
    <mergeCell ref="P9:Q9"/>
    <mergeCell ref="H13:H15"/>
    <mergeCell ref="K13:K15"/>
    <mergeCell ref="O13:O15"/>
    <mergeCell ref="R9:S9"/>
    <mergeCell ref="E13:E15"/>
    <mergeCell ref="O26:O28"/>
    <mergeCell ref="E26:E28"/>
    <mergeCell ref="G26:G28"/>
    <mergeCell ref="H26:H28"/>
    <mergeCell ref="J26:J28"/>
    <mergeCell ref="K26:K28"/>
  </mergeCells>
  <pageMargins left="1.0236220472440944" right="0.23622047244094491" top="0.98425196850393704" bottom="0.98425196850393704" header="0.23622047244094491" footer="0.23622047244094491"/>
  <pageSetup paperSize="9" scale="42" fitToHeight="0" orientation="landscape" r:id="rId1"/>
  <headerFooter alignWithMargins="0">
    <oddHeader>&amp;F</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B2:G47"/>
  <sheetViews>
    <sheetView showGridLines="0" view="pageBreakPreview" zoomScale="60" zoomScaleNormal="80" workbookViewId="0">
      <selection activeCell="C11" sqref="C11:C12"/>
    </sheetView>
  </sheetViews>
  <sheetFormatPr defaultColWidth="9.140625" defaultRowHeight="15"/>
  <cols>
    <col min="1" max="1" width="6.85546875" style="18" customWidth="1"/>
    <col min="2" max="2" width="9.28515625" style="18" customWidth="1"/>
    <col min="3" max="3" width="60.7109375" style="18" customWidth="1"/>
    <col min="4" max="4" width="26.5703125" style="18" customWidth="1"/>
    <col min="5" max="5" width="17.5703125" style="18" customWidth="1"/>
    <col min="6" max="6" width="24.85546875" style="18" customWidth="1"/>
    <col min="7" max="252" width="9.140625" style="18"/>
    <col min="253" max="253" width="6.85546875" style="18" customWidth="1"/>
    <col min="254" max="254" width="7" style="18" customWidth="1"/>
    <col min="255" max="255" width="60.7109375" style="18" customWidth="1"/>
    <col min="256" max="256" width="26.5703125" style="18" customWidth="1"/>
    <col min="257" max="259" width="18.7109375" style="18" customWidth="1"/>
    <col min="260" max="260" width="20.7109375" style="18" customWidth="1"/>
    <col min="261" max="262" width="18.7109375" style="18" customWidth="1"/>
    <col min="263" max="508" width="9.140625" style="18"/>
    <col min="509" max="509" width="6.85546875" style="18" customWidth="1"/>
    <col min="510" max="510" width="7" style="18" customWidth="1"/>
    <col min="511" max="511" width="60.7109375" style="18" customWidth="1"/>
    <col min="512" max="512" width="26.5703125" style="18" customWidth="1"/>
    <col min="513" max="515" width="18.7109375" style="18" customWidth="1"/>
    <col min="516" max="516" width="20.7109375" style="18" customWidth="1"/>
    <col min="517" max="518" width="18.7109375" style="18" customWidth="1"/>
    <col min="519" max="764" width="9.140625" style="18"/>
    <col min="765" max="765" width="6.85546875" style="18" customWidth="1"/>
    <col min="766" max="766" width="7" style="18" customWidth="1"/>
    <col min="767" max="767" width="60.7109375" style="18" customWidth="1"/>
    <col min="768" max="768" width="26.5703125" style="18" customWidth="1"/>
    <col min="769" max="771" width="18.7109375" style="18" customWidth="1"/>
    <col min="772" max="772" width="20.7109375" style="18" customWidth="1"/>
    <col min="773" max="774" width="18.7109375" style="18" customWidth="1"/>
    <col min="775" max="1020" width="9.140625" style="18"/>
    <col min="1021" max="1021" width="6.85546875" style="18" customWidth="1"/>
    <col min="1022" max="1022" width="7" style="18" customWidth="1"/>
    <col min="1023" max="1023" width="60.7109375" style="18" customWidth="1"/>
    <col min="1024" max="1024" width="26.5703125" style="18" customWidth="1"/>
    <col min="1025" max="1027" width="18.7109375" style="18" customWidth="1"/>
    <col min="1028" max="1028" width="20.7109375" style="18" customWidth="1"/>
    <col min="1029" max="1030" width="18.7109375" style="18" customWidth="1"/>
    <col min="1031" max="1276" width="9.140625" style="18"/>
    <col min="1277" max="1277" width="6.85546875" style="18" customWidth="1"/>
    <col min="1278" max="1278" width="7" style="18" customWidth="1"/>
    <col min="1279" max="1279" width="60.7109375" style="18" customWidth="1"/>
    <col min="1280" max="1280" width="26.5703125" style="18" customWidth="1"/>
    <col min="1281" max="1283" width="18.7109375" style="18" customWidth="1"/>
    <col min="1284" max="1284" width="20.7109375" style="18" customWidth="1"/>
    <col min="1285" max="1286" width="18.7109375" style="18" customWidth="1"/>
    <col min="1287" max="1532" width="9.140625" style="18"/>
    <col min="1533" max="1533" width="6.85546875" style="18" customWidth="1"/>
    <col min="1534" max="1534" width="7" style="18" customWidth="1"/>
    <col min="1535" max="1535" width="60.7109375" style="18" customWidth="1"/>
    <col min="1536" max="1536" width="26.5703125" style="18" customWidth="1"/>
    <col min="1537" max="1539" width="18.7109375" style="18" customWidth="1"/>
    <col min="1540" max="1540" width="20.7109375" style="18" customWidth="1"/>
    <col min="1541" max="1542" width="18.7109375" style="18" customWidth="1"/>
    <col min="1543" max="1788" width="9.140625" style="18"/>
    <col min="1789" max="1789" width="6.85546875" style="18" customWidth="1"/>
    <col min="1790" max="1790" width="7" style="18" customWidth="1"/>
    <col min="1791" max="1791" width="60.7109375" style="18" customWidth="1"/>
    <col min="1792" max="1792" width="26.5703125" style="18" customWidth="1"/>
    <col min="1793" max="1795" width="18.7109375" style="18" customWidth="1"/>
    <col min="1796" max="1796" width="20.7109375" style="18" customWidth="1"/>
    <col min="1797" max="1798" width="18.7109375" style="18" customWidth="1"/>
    <col min="1799" max="2044" width="9.140625" style="18"/>
    <col min="2045" max="2045" width="6.85546875" style="18" customWidth="1"/>
    <col min="2046" max="2046" width="7" style="18" customWidth="1"/>
    <col min="2047" max="2047" width="60.7109375" style="18" customWidth="1"/>
    <col min="2048" max="2048" width="26.5703125" style="18" customWidth="1"/>
    <col min="2049" max="2051" width="18.7109375" style="18" customWidth="1"/>
    <col min="2052" max="2052" width="20.7109375" style="18" customWidth="1"/>
    <col min="2053" max="2054" width="18.7109375" style="18" customWidth="1"/>
    <col min="2055" max="2300" width="9.140625" style="18"/>
    <col min="2301" max="2301" width="6.85546875" style="18" customWidth="1"/>
    <col min="2302" max="2302" width="7" style="18" customWidth="1"/>
    <col min="2303" max="2303" width="60.7109375" style="18" customWidth="1"/>
    <col min="2304" max="2304" width="26.5703125" style="18" customWidth="1"/>
    <col min="2305" max="2307" width="18.7109375" style="18" customWidth="1"/>
    <col min="2308" max="2308" width="20.7109375" style="18" customWidth="1"/>
    <col min="2309" max="2310" width="18.7109375" style="18" customWidth="1"/>
    <col min="2311" max="2556" width="9.140625" style="18"/>
    <col min="2557" max="2557" width="6.85546875" style="18" customWidth="1"/>
    <col min="2558" max="2558" width="7" style="18" customWidth="1"/>
    <col min="2559" max="2559" width="60.7109375" style="18" customWidth="1"/>
    <col min="2560" max="2560" width="26.5703125" style="18" customWidth="1"/>
    <col min="2561" max="2563" width="18.7109375" style="18" customWidth="1"/>
    <col min="2564" max="2564" width="20.7109375" style="18" customWidth="1"/>
    <col min="2565" max="2566" width="18.7109375" style="18" customWidth="1"/>
    <col min="2567" max="2812" width="9.140625" style="18"/>
    <col min="2813" max="2813" width="6.85546875" style="18" customWidth="1"/>
    <col min="2814" max="2814" width="7" style="18" customWidth="1"/>
    <col min="2815" max="2815" width="60.7109375" style="18" customWidth="1"/>
    <col min="2816" max="2816" width="26.5703125" style="18" customWidth="1"/>
    <col min="2817" max="2819" width="18.7109375" style="18" customWidth="1"/>
    <col min="2820" max="2820" width="20.7109375" style="18" customWidth="1"/>
    <col min="2821" max="2822" width="18.7109375" style="18" customWidth="1"/>
    <col min="2823" max="3068" width="9.140625" style="18"/>
    <col min="3069" max="3069" width="6.85546875" style="18" customWidth="1"/>
    <col min="3070" max="3070" width="7" style="18" customWidth="1"/>
    <col min="3071" max="3071" width="60.7109375" style="18" customWidth="1"/>
    <col min="3072" max="3072" width="26.5703125" style="18" customWidth="1"/>
    <col min="3073" max="3075" width="18.7109375" style="18" customWidth="1"/>
    <col min="3076" max="3076" width="20.7109375" style="18" customWidth="1"/>
    <col min="3077" max="3078" width="18.7109375" style="18" customWidth="1"/>
    <col min="3079" max="3324" width="9.140625" style="18"/>
    <col min="3325" max="3325" width="6.85546875" style="18" customWidth="1"/>
    <col min="3326" max="3326" width="7" style="18" customWidth="1"/>
    <col min="3327" max="3327" width="60.7109375" style="18" customWidth="1"/>
    <col min="3328" max="3328" width="26.5703125" style="18" customWidth="1"/>
    <col min="3329" max="3331" width="18.7109375" style="18" customWidth="1"/>
    <col min="3332" max="3332" width="20.7109375" style="18" customWidth="1"/>
    <col min="3333" max="3334" width="18.7109375" style="18" customWidth="1"/>
    <col min="3335" max="3580" width="9.140625" style="18"/>
    <col min="3581" max="3581" width="6.85546875" style="18" customWidth="1"/>
    <col min="3582" max="3582" width="7" style="18" customWidth="1"/>
    <col min="3583" max="3583" width="60.7109375" style="18" customWidth="1"/>
    <col min="3584" max="3584" width="26.5703125" style="18" customWidth="1"/>
    <col min="3585" max="3587" width="18.7109375" style="18" customWidth="1"/>
    <col min="3588" max="3588" width="20.7109375" style="18" customWidth="1"/>
    <col min="3589" max="3590" width="18.7109375" style="18" customWidth="1"/>
    <col min="3591" max="3836" width="9.140625" style="18"/>
    <col min="3837" max="3837" width="6.85546875" style="18" customWidth="1"/>
    <col min="3838" max="3838" width="7" style="18" customWidth="1"/>
    <col min="3839" max="3839" width="60.7109375" style="18" customWidth="1"/>
    <col min="3840" max="3840" width="26.5703125" style="18" customWidth="1"/>
    <col min="3841" max="3843" width="18.7109375" style="18" customWidth="1"/>
    <col min="3844" max="3844" width="20.7109375" style="18" customWidth="1"/>
    <col min="3845" max="3846" width="18.7109375" style="18" customWidth="1"/>
    <col min="3847" max="4092" width="9.140625" style="18"/>
    <col min="4093" max="4093" width="6.85546875" style="18" customWidth="1"/>
    <col min="4094" max="4094" width="7" style="18" customWidth="1"/>
    <col min="4095" max="4095" width="60.7109375" style="18" customWidth="1"/>
    <col min="4096" max="4096" width="26.5703125" style="18" customWidth="1"/>
    <col min="4097" max="4099" width="18.7109375" style="18" customWidth="1"/>
    <col min="4100" max="4100" width="20.7109375" style="18" customWidth="1"/>
    <col min="4101" max="4102" width="18.7109375" style="18" customWidth="1"/>
    <col min="4103" max="4348" width="9.140625" style="18"/>
    <col min="4349" max="4349" width="6.85546875" style="18" customWidth="1"/>
    <col min="4350" max="4350" width="7" style="18" customWidth="1"/>
    <col min="4351" max="4351" width="60.7109375" style="18" customWidth="1"/>
    <col min="4352" max="4352" width="26.5703125" style="18" customWidth="1"/>
    <col min="4353" max="4355" width="18.7109375" style="18" customWidth="1"/>
    <col min="4356" max="4356" width="20.7109375" style="18" customWidth="1"/>
    <col min="4357" max="4358" width="18.7109375" style="18" customWidth="1"/>
    <col min="4359" max="4604" width="9.140625" style="18"/>
    <col min="4605" max="4605" width="6.85546875" style="18" customWidth="1"/>
    <col min="4606" max="4606" width="7" style="18" customWidth="1"/>
    <col min="4607" max="4607" width="60.7109375" style="18" customWidth="1"/>
    <col min="4608" max="4608" width="26.5703125" style="18" customWidth="1"/>
    <col min="4609" max="4611" width="18.7109375" style="18" customWidth="1"/>
    <col min="4612" max="4612" width="20.7109375" style="18" customWidth="1"/>
    <col min="4613" max="4614" width="18.7109375" style="18" customWidth="1"/>
    <col min="4615" max="4860" width="9.140625" style="18"/>
    <col min="4861" max="4861" width="6.85546875" style="18" customWidth="1"/>
    <col min="4862" max="4862" width="7" style="18" customWidth="1"/>
    <col min="4863" max="4863" width="60.7109375" style="18" customWidth="1"/>
    <col min="4864" max="4864" width="26.5703125" style="18" customWidth="1"/>
    <col min="4865" max="4867" width="18.7109375" style="18" customWidth="1"/>
    <col min="4868" max="4868" width="20.7109375" style="18" customWidth="1"/>
    <col min="4869" max="4870" width="18.7109375" style="18" customWidth="1"/>
    <col min="4871" max="5116" width="9.140625" style="18"/>
    <col min="5117" max="5117" width="6.85546875" style="18" customWidth="1"/>
    <col min="5118" max="5118" width="7" style="18" customWidth="1"/>
    <col min="5119" max="5119" width="60.7109375" style="18" customWidth="1"/>
    <col min="5120" max="5120" width="26.5703125" style="18" customWidth="1"/>
    <col min="5121" max="5123" width="18.7109375" style="18" customWidth="1"/>
    <col min="5124" max="5124" width="20.7109375" style="18" customWidth="1"/>
    <col min="5125" max="5126" width="18.7109375" style="18" customWidth="1"/>
    <col min="5127" max="5372" width="9.140625" style="18"/>
    <col min="5373" max="5373" width="6.85546875" style="18" customWidth="1"/>
    <col min="5374" max="5374" width="7" style="18" customWidth="1"/>
    <col min="5375" max="5375" width="60.7109375" style="18" customWidth="1"/>
    <col min="5376" max="5376" width="26.5703125" style="18" customWidth="1"/>
    <col min="5377" max="5379" width="18.7109375" style="18" customWidth="1"/>
    <col min="5380" max="5380" width="20.7109375" style="18" customWidth="1"/>
    <col min="5381" max="5382" width="18.7109375" style="18" customWidth="1"/>
    <col min="5383" max="5628" width="9.140625" style="18"/>
    <col min="5629" max="5629" width="6.85546875" style="18" customWidth="1"/>
    <col min="5630" max="5630" width="7" style="18" customWidth="1"/>
    <col min="5631" max="5631" width="60.7109375" style="18" customWidth="1"/>
    <col min="5632" max="5632" width="26.5703125" style="18" customWidth="1"/>
    <col min="5633" max="5635" width="18.7109375" style="18" customWidth="1"/>
    <col min="5636" max="5636" width="20.7109375" style="18" customWidth="1"/>
    <col min="5637" max="5638" width="18.7109375" style="18" customWidth="1"/>
    <col min="5639" max="5884" width="9.140625" style="18"/>
    <col min="5885" max="5885" width="6.85546875" style="18" customWidth="1"/>
    <col min="5886" max="5886" width="7" style="18" customWidth="1"/>
    <col min="5887" max="5887" width="60.7109375" style="18" customWidth="1"/>
    <col min="5888" max="5888" width="26.5703125" style="18" customWidth="1"/>
    <col min="5889" max="5891" width="18.7109375" style="18" customWidth="1"/>
    <col min="5892" max="5892" width="20.7109375" style="18" customWidth="1"/>
    <col min="5893" max="5894" width="18.7109375" style="18" customWidth="1"/>
    <col min="5895" max="6140" width="9.140625" style="18"/>
    <col min="6141" max="6141" width="6.85546875" style="18" customWidth="1"/>
    <col min="6142" max="6142" width="7" style="18" customWidth="1"/>
    <col min="6143" max="6143" width="60.7109375" style="18" customWidth="1"/>
    <col min="6144" max="6144" width="26.5703125" style="18" customWidth="1"/>
    <col min="6145" max="6147" width="18.7109375" style="18" customWidth="1"/>
    <col min="6148" max="6148" width="20.7109375" style="18" customWidth="1"/>
    <col min="6149" max="6150" width="18.7109375" style="18" customWidth="1"/>
    <col min="6151" max="6396" width="9.140625" style="18"/>
    <col min="6397" max="6397" width="6.85546875" style="18" customWidth="1"/>
    <col min="6398" max="6398" width="7" style="18" customWidth="1"/>
    <col min="6399" max="6399" width="60.7109375" style="18" customWidth="1"/>
    <col min="6400" max="6400" width="26.5703125" style="18" customWidth="1"/>
    <col min="6401" max="6403" width="18.7109375" style="18" customWidth="1"/>
    <col min="6404" max="6404" width="20.7109375" style="18" customWidth="1"/>
    <col min="6405" max="6406" width="18.7109375" style="18" customWidth="1"/>
    <col min="6407" max="6652" width="9.140625" style="18"/>
    <col min="6653" max="6653" width="6.85546875" style="18" customWidth="1"/>
    <col min="6654" max="6654" width="7" style="18" customWidth="1"/>
    <col min="6655" max="6655" width="60.7109375" style="18" customWidth="1"/>
    <col min="6656" max="6656" width="26.5703125" style="18" customWidth="1"/>
    <col min="6657" max="6659" width="18.7109375" style="18" customWidth="1"/>
    <col min="6660" max="6660" width="20.7109375" style="18" customWidth="1"/>
    <col min="6661" max="6662" width="18.7109375" style="18" customWidth="1"/>
    <col min="6663" max="6908" width="9.140625" style="18"/>
    <col min="6909" max="6909" width="6.85546875" style="18" customWidth="1"/>
    <col min="6910" max="6910" width="7" style="18" customWidth="1"/>
    <col min="6911" max="6911" width="60.7109375" style="18" customWidth="1"/>
    <col min="6912" max="6912" width="26.5703125" style="18" customWidth="1"/>
    <col min="6913" max="6915" width="18.7109375" style="18" customWidth="1"/>
    <col min="6916" max="6916" width="20.7109375" style="18" customWidth="1"/>
    <col min="6917" max="6918" width="18.7109375" style="18" customWidth="1"/>
    <col min="6919" max="7164" width="9.140625" style="18"/>
    <col min="7165" max="7165" width="6.85546875" style="18" customWidth="1"/>
    <col min="7166" max="7166" width="7" style="18" customWidth="1"/>
    <col min="7167" max="7167" width="60.7109375" style="18" customWidth="1"/>
    <col min="7168" max="7168" width="26.5703125" style="18" customWidth="1"/>
    <col min="7169" max="7171" width="18.7109375" style="18" customWidth="1"/>
    <col min="7172" max="7172" width="20.7109375" style="18" customWidth="1"/>
    <col min="7173" max="7174" width="18.7109375" style="18" customWidth="1"/>
    <col min="7175" max="7420" width="9.140625" style="18"/>
    <col min="7421" max="7421" width="6.85546875" style="18" customWidth="1"/>
    <col min="7422" max="7422" width="7" style="18" customWidth="1"/>
    <col min="7423" max="7423" width="60.7109375" style="18" customWidth="1"/>
    <col min="7424" max="7424" width="26.5703125" style="18" customWidth="1"/>
    <col min="7425" max="7427" width="18.7109375" style="18" customWidth="1"/>
    <col min="7428" max="7428" width="20.7109375" style="18" customWidth="1"/>
    <col min="7429" max="7430" width="18.7109375" style="18" customWidth="1"/>
    <col min="7431" max="7676" width="9.140625" style="18"/>
    <col min="7677" max="7677" width="6.85546875" style="18" customWidth="1"/>
    <col min="7678" max="7678" width="7" style="18" customWidth="1"/>
    <col min="7679" max="7679" width="60.7109375" style="18" customWidth="1"/>
    <col min="7680" max="7680" width="26.5703125" style="18" customWidth="1"/>
    <col min="7681" max="7683" width="18.7109375" style="18" customWidth="1"/>
    <col min="7684" max="7684" width="20.7109375" style="18" customWidth="1"/>
    <col min="7685" max="7686" width="18.7109375" style="18" customWidth="1"/>
    <col min="7687" max="7932" width="9.140625" style="18"/>
    <col min="7933" max="7933" width="6.85546875" style="18" customWidth="1"/>
    <col min="7934" max="7934" width="7" style="18" customWidth="1"/>
    <col min="7935" max="7935" width="60.7109375" style="18" customWidth="1"/>
    <col min="7936" max="7936" width="26.5703125" style="18" customWidth="1"/>
    <col min="7937" max="7939" width="18.7109375" style="18" customWidth="1"/>
    <col min="7940" max="7940" width="20.7109375" style="18" customWidth="1"/>
    <col min="7941" max="7942" width="18.7109375" style="18" customWidth="1"/>
    <col min="7943" max="8188" width="9.140625" style="18"/>
    <col min="8189" max="8189" width="6.85546875" style="18" customWidth="1"/>
    <col min="8190" max="8190" width="7" style="18" customWidth="1"/>
    <col min="8191" max="8191" width="60.7109375" style="18" customWidth="1"/>
    <col min="8192" max="8192" width="26.5703125" style="18" customWidth="1"/>
    <col min="8193" max="8195" width="18.7109375" style="18" customWidth="1"/>
    <col min="8196" max="8196" width="20.7109375" style="18" customWidth="1"/>
    <col min="8197" max="8198" width="18.7109375" style="18" customWidth="1"/>
    <col min="8199" max="8444" width="9.140625" style="18"/>
    <col min="8445" max="8445" width="6.85546875" style="18" customWidth="1"/>
    <col min="8446" max="8446" width="7" style="18" customWidth="1"/>
    <col min="8447" max="8447" width="60.7109375" style="18" customWidth="1"/>
    <col min="8448" max="8448" width="26.5703125" style="18" customWidth="1"/>
    <col min="8449" max="8451" width="18.7109375" style="18" customWidth="1"/>
    <col min="8452" max="8452" width="20.7109375" style="18" customWidth="1"/>
    <col min="8453" max="8454" width="18.7109375" style="18" customWidth="1"/>
    <col min="8455" max="8700" width="9.140625" style="18"/>
    <col min="8701" max="8701" width="6.85546875" style="18" customWidth="1"/>
    <col min="8702" max="8702" width="7" style="18" customWidth="1"/>
    <col min="8703" max="8703" width="60.7109375" style="18" customWidth="1"/>
    <col min="8704" max="8704" width="26.5703125" style="18" customWidth="1"/>
    <col min="8705" max="8707" width="18.7109375" style="18" customWidth="1"/>
    <col min="8708" max="8708" width="20.7109375" style="18" customWidth="1"/>
    <col min="8709" max="8710" width="18.7109375" style="18" customWidth="1"/>
    <col min="8711" max="8956" width="9.140625" style="18"/>
    <col min="8957" max="8957" width="6.85546875" style="18" customWidth="1"/>
    <col min="8958" max="8958" width="7" style="18" customWidth="1"/>
    <col min="8959" max="8959" width="60.7109375" style="18" customWidth="1"/>
    <col min="8960" max="8960" width="26.5703125" style="18" customWidth="1"/>
    <col min="8961" max="8963" width="18.7109375" style="18" customWidth="1"/>
    <col min="8964" max="8964" width="20.7109375" style="18" customWidth="1"/>
    <col min="8965" max="8966" width="18.7109375" style="18" customWidth="1"/>
    <col min="8967" max="9212" width="9.140625" style="18"/>
    <col min="9213" max="9213" width="6.85546875" style="18" customWidth="1"/>
    <col min="9214" max="9214" width="7" style="18" customWidth="1"/>
    <col min="9215" max="9215" width="60.7109375" style="18" customWidth="1"/>
    <col min="9216" max="9216" width="26.5703125" style="18" customWidth="1"/>
    <col min="9217" max="9219" width="18.7109375" style="18" customWidth="1"/>
    <col min="9220" max="9220" width="20.7109375" style="18" customWidth="1"/>
    <col min="9221" max="9222" width="18.7109375" style="18" customWidth="1"/>
    <col min="9223" max="9468" width="9.140625" style="18"/>
    <col min="9469" max="9469" width="6.85546875" style="18" customWidth="1"/>
    <col min="9470" max="9470" width="7" style="18" customWidth="1"/>
    <col min="9471" max="9471" width="60.7109375" style="18" customWidth="1"/>
    <col min="9472" max="9472" width="26.5703125" style="18" customWidth="1"/>
    <col min="9473" max="9475" width="18.7109375" style="18" customWidth="1"/>
    <col min="9476" max="9476" width="20.7109375" style="18" customWidth="1"/>
    <col min="9477" max="9478" width="18.7109375" style="18" customWidth="1"/>
    <col min="9479" max="9724" width="9.140625" style="18"/>
    <col min="9725" max="9725" width="6.85546875" style="18" customWidth="1"/>
    <col min="9726" max="9726" width="7" style="18" customWidth="1"/>
    <col min="9727" max="9727" width="60.7109375" style="18" customWidth="1"/>
    <col min="9728" max="9728" width="26.5703125" style="18" customWidth="1"/>
    <col min="9729" max="9731" width="18.7109375" style="18" customWidth="1"/>
    <col min="9732" max="9732" width="20.7109375" style="18" customWidth="1"/>
    <col min="9733" max="9734" width="18.7109375" style="18" customWidth="1"/>
    <col min="9735" max="9980" width="9.140625" style="18"/>
    <col min="9981" max="9981" width="6.85546875" style="18" customWidth="1"/>
    <col min="9982" max="9982" width="7" style="18" customWidth="1"/>
    <col min="9983" max="9983" width="60.7109375" style="18" customWidth="1"/>
    <col min="9984" max="9984" width="26.5703125" style="18" customWidth="1"/>
    <col min="9985" max="9987" width="18.7109375" style="18" customWidth="1"/>
    <col min="9988" max="9988" width="20.7109375" style="18" customWidth="1"/>
    <col min="9989" max="9990" width="18.7109375" style="18" customWidth="1"/>
    <col min="9991" max="10236" width="9.140625" style="18"/>
    <col min="10237" max="10237" width="6.85546875" style="18" customWidth="1"/>
    <col min="10238" max="10238" width="7" style="18" customWidth="1"/>
    <col min="10239" max="10239" width="60.7109375" style="18" customWidth="1"/>
    <col min="10240" max="10240" width="26.5703125" style="18" customWidth="1"/>
    <col min="10241" max="10243" width="18.7109375" style="18" customWidth="1"/>
    <col min="10244" max="10244" width="20.7109375" style="18" customWidth="1"/>
    <col min="10245" max="10246" width="18.7109375" style="18" customWidth="1"/>
    <col min="10247" max="10492" width="9.140625" style="18"/>
    <col min="10493" max="10493" width="6.85546875" style="18" customWidth="1"/>
    <col min="10494" max="10494" width="7" style="18" customWidth="1"/>
    <col min="10495" max="10495" width="60.7109375" style="18" customWidth="1"/>
    <col min="10496" max="10496" width="26.5703125" style="18" customWidth="1"/>
    <col min="10497" max="10499" width="18.7109375" style="18" customWidth="1"/>
    <col min="10500" max="10500" width="20.7109375" style="18" customWidth="1"/>
    <col min="10501" max="10502" width="18.7109375" style="18" customWidth="1"/>
    <col min="10503" max="10748" width="9.140625" style="18"/>
    <col min="10749" max="10749" width="6.85546875" style="18" customWidth="1"/>
    <col min="10750" max="10750" width="7" style="18" customWidth="1"/>
    <col min="10751" max="10751" width="60.7109375" style="18" customWidth="1"/>
    <col min="10752" max="10752" width="26.5703125" style="18" customWidth="1"/>
    <col min="10753" max="10755" width="18.7109375" style="18" customWidth="1"/>
    <col min="10756" max="10756" width="20.7109375" style="18" customWidth="1"/>
    <col min="10757" max="10758" width="18.7109375" style="18" customWidth="1"/>
    <col min="10759" max="11004" width="9.140625" style="18"/>
    <col min="11005" max="11005" width="6.85546875" style="18" customWidth="1"/>
    <col min="11006" max="11006" width="7" style="18" customWidth="1"/>
    <col min="11007" max="11007" width="60.7109375" style="18" customWidth="1"/>
    <col min="11008" max="11008" width="26.5703125" style="18" customWidth="1"/>
    <col min="11009" max="11011" width="18.7109375" style="18" customWidth="1"/>
    <col min="11012" max="11012" width="20.7109375" style="18" customWidth="1"/>
    <col min="11013" max="11014" width="18.7109375" style="18" customWidth="1"/>
    <col min="11015" max="11260" width="9.140625" style="18"/>
    <col min="11261" max="11261" width="6.85546875" style="18" customWidth="1"/>
    <col min="11262" max="11262" width="7" style="18" customWidth="1"/>
    <col min="11263" max="11263" width="60.7109375" style="18" customWidth="1"/>
    <col min="11264" max="11264" width="26.5703125" style="18" customWidth="1"/>
    <col min="11265" max="11267" width="18.7109375" style="18" customWidth="1"/>
    <col min="11268" max="11268" width="20.7109375" style="18" customWidth="1"/>
    <col min="11269" max="11270" width="18.7109375" style="18" customWidth="1"/>
    <col min="11271" max="11516" width="9.140625" style="18"/>
    <col min="11517" max="11517" width="6.85546875" style="18" customWidth="1"/>
    <col min="11518" max="11518" width="7" style="18" customWidth="1"/>
    <col min="11519" max="11519" width="60.7109375" style="18" customWidth="1"/>
    <col min="11520" max="11520" width="26.5703125" style="18" customWidth="1"/>
    <col min="11521" max="11523" width="18.7109375" style="18" customWidth="1"/>
    <col min="11524" max="11524" width="20.7109375" style="18" customWidth="1"/>
    <col min="11525" max="11526" width="18.7109375" style="18" customWidth="1"/>
    <col min="11527" max="11772" width="9.140625" style="18"/>
    <col min="11773" max="11773" width="6.85546875" style="18" customWidth="1"/>
    <col min="11774" max="11774" width="7" style="18" customWidth="1"/>
    <col min="11775" max="11775" width="60.7109375" style="18" customWidth="1"/>
    <col min="11776" max="11776" width="26.5703125" style="18" customWidth="1"/>
    <col min="11777" max="11779" width="18.7109375" style="18" customWidth="1"/>
    <col min="11780" max="11780" width="20.7109375" style="18" customWidth="1"/>
    <col min="11781" max="11782" width="18.7109375" style="18" customWidth="1"/>
    <col min="11783" max="12028" width="9.140625" style="18"/>
    <col min="12029" max="12029" width="6.85546875" style="18" customWidth="1"/>
    <col min="12030" max="12030" width="7" style="18" customWidth="1"/>
    <col min="12031" max="12031" width="60.7109375" style="18" customWidth="1"/>
    <col min="12032" max="12032" width="26.5703125" style="18" customWidth="1"/>
    <col min="12033" max="12035" width="18.7109375" style="18" customWidth="1"/>
    <col min="12036" max="12036" width="20.7109375" style="18" customWidth="1"/>
    <col min="12037" max="12038" width="18.7109375" style="18" customWidth="1"/>
    <col min="12039" max="12284" width="9.140625" style="18"/>
    <col min="12285" max="12285" width="6.85546875" style="18" customWidth="1"/>
    <col min="12286" max="12286" width="7" style="18" customWidth="1"/>
    <col min="12287" max="12287" width="60.7109375" style="18" customWidth="1"/>
    <col min="12288" max="12288" width="26.5703125" style="18" customWidth="1"/>
    <col min="12289" max="12291" width="18.7109375" style="18" customWidth="1"/>
    <col min="12292" max="12292" width="20.7109375" style="18" customWidth="1"/>
    <col min="12293" max="12294" width="18.7109375" style="18" customWidth="1"/>
    <col min="12295" max="12540" width="9.140625" style="18"/>
    <col min="12541" max="12541" width="6.85546875" style="18" customWidth="1"/>
    <col min="12542" max="12542" width="7" style="18" customWidth="1"/>
    <col min="12543" max="12543" width="60.7109375" style="18" customWidth="1"/>
    <col min="12544" max="12544" width="26.5703125" style="18" customWidth="1"/>
    <col min="12545" max="12547" width="18.7109375" style="18" customWidth="1"/>
    <col min="12548" max="12548" width="20.7109375" style="18" customWidth="1"/>
    <col min="12549" max="12550" width="18.7109375" style="18" customWidth="1"/>
    <col min="12551" max="12796" width="9.140625" style="18"/>
    <col min="12797" max="12797" width="6.85546875" style="18" customWidth="1"/>
    <col min="12798" max="12798" width="7" style="18" customWidth="1"/>
    <col min="12799" max="12799" width="60.7109375" style="18" customWidth="1"/>
    <col min="12800" max="12800" width="26.5703125" style="18" customWidth="1"/>
    <col min="12801" max="12803" width="18.7109375" style="18" customWidth="1"/>
    <col min="12804" max="12804" width="20.7109375" style="18" customWidth="1"/>
    <col min="12805" max="12806" width="18.7109375" style="18" customWidth="1"/>
    <col min="12807" max="13052" width="9.140625" style="18"/>
    <col min="13053" max="13053" width="6.85546875" style="18" customWidth="1"/>
    <col min="13054" max="13054" width="7" style="18" customWidth="1"/>
    <col min="13055" max="13055" width="60.7109375" style="18" customWidth="1"/>
    <col min="13056" max="13056" width="26.5703125" style="18" customWidth="1"/>
    <col min="13057" max="13059" width="18.7109375" style="18" customWidth="1"/>
    <col min="13060" max="13060" width="20.7109375" style="18" customWidth="1"/>
    <col min="13061" max="13062" width="18.7109375" style="18" customWidth="1"/>
    <col min="13063" max="13308" width="9.140625" style="18"/>
    <col min="13309" max="13309" width="6.85546875" style="18" customWidth="1"/>
    <col min="13310" max="13310" width="7" style="18" customWidth="1"/>
    <col min="13311" max="13311" width="60.7109375" style="18" customWidth="1"/>
    <col min="13312" max="13312" width="26.5703125" style="18" customWidth="1"/>
    <col min="13313" max="13315" width="18.7109375" style="18" customWidth="1"/>
    <col min="13316" max="13316" width="20.7109375" style="18" customWidth="1"/>
    <col min="13317" max="13318" width="18.7109375" style="18" customWidth="1"/>
    <col min="13319" max="13564" width="9.140625" style="18"/>
    <col min="13565" max="13565" width="6.85546875" style="18" customWidth="1"/>
    <col min="13566" max="13566" width="7" style="18" customWidth="1"/>
    <col min="13567" max="13567" width="60.7109375" style="18" customWidth="1"/>
    <col min="13568" max="13568" width="26.5703125" style="18" customWidth="1"/>
    <col min="13569" max="13571" width="18.7109375" style="18" customWidth="1"/>
    <col min="13572" max="13572" width="20.7109375" style="18" customWidth="1"/>
    <col min="13573" max="13574" width="18.7109375" style="18" customWidth="1"/>
    <col min="13575" max="13820" width="9.140625" style="18"/>
    <col min="13821" max="13821" width="6.85546875" style="18" customWidth="1"/>
    <col min="13822" max="13822" width="7" style="18" customWidth="1"/>
    <col min="13823" max="13823" width="60.7109375" style="18" customWidth="1"/>
    <col min="13824" max="13824" width="26.5703125" style="18" customWidth="1"/>
    <col min="13825" max="13827" width="18.7109375" style="18" customWidth="1"/>
    <col min="13828" max="13828" width="20.7109375" style="18" customWidth="1"/>
    <col min="13829" max="13830" width="18.7109375" style="18" customWidth="1"/>
    <col min="13831" max="14076" width="9.140625" style="18"/>
    <col min="14077" max="14077" width="6.85546875" style="18" customWidth="1"/>
    <col min="14078" max="14078" width="7" style="18" customWidth="1"/>
    <col min="14079" max="14079" width="60.7109375" style="18" customWidth="1"/>
    <col min="14080" max="14080" width="26.5703125" style="18" customWidth="1"/>
    <col min="14081" max="14083" width="18.7109375" style="18" customWidth="1"/>
    <col min="14084" max="14084" width="20.7109375" style="18" customWidth="1"/>
    <col min="14085" max="14086" width="18.7109375" style="18" customWidth="1"/>
    <col min="14087" max="14332" width="9.140625" style="18"/>
    <col min="14333" max="14333" width="6.85546875" style="18" customWidth="1"/>
    <col min="14334" max="14334" width="7" style="18" customWidth="1"/>
    <col min="14335" max="14335" width="60.7109375" style="18" customWidth="1"/>
    <col min="14336" max="14336" width="26.5703125" style="18" customWidth="1"/>
    <col min="14337" max="14339" width="18.7109375" style="18" customWidth="1"/>
    <col min="14340" max="14340" width="20.7109375" style="18" customWidth="1"/>
    <col min="14341" max="14342" width="18.7109375" style="18" customWidth="1"/>
    <col min="14343" max="14588" width="9.140625" style="18"/>
    <col min="14589" max="14589" width="6.85546875" style="18" customWidth="1"/>
    <col min="14590" max="14590" width="7" style="18" customWidth="1"/>
    <col min="14591" max="14591" width="60.7109375" style="18" customWidth="1"/>
    <col min="14592" max="14592" width="26.5703125" style="18" customWidth="1"/>
    <col min="14593" max="14595" width="18.7109375" style="18" customWidth="1"/>
    <col min="14596" max="14596" width="20.7109375" style="18" customWidth="1"/>
    <col min="14597" max="14598" width="18.7109375" style="18" customWidth="1"/>
    <col min="14599" max="14844" width="9.140625" style="18"/>
    <col min="14845" max="14845" width="6.85546875" style="18" customWidth="1"/>
    <col min="14846" max="14846" width="7" style="18" customWidth="1"/>
    <col min="14847" max="14847" width="60.7109375" style="18" customWidth="1"/>
    <col min="14848" max="14848" width="26.5703125" style="18" customWidth="1"/>
    <col min="14849" max="14851" width="18.7109375" style="18" customWidth="1"/>
    <col min="14852" max="14852" width="20.7109375" style="18" customWidth="1"/>
    <col min="14853" max="14854" width="18.7109375" style="18" customWidth="1"/>
    <col min="14855" max="15100" width="9.140625" style="18"/>
    <col min="15101" max="15101" width="6.85546875" style="18" customWidth="1"/>
    <col min="15102" max="15102" width="7" style="18" customWidth="1"/>
    <col min="15103" max="15103" width="60.7109375" style="18" customWidth="1"/>
    <col min="15104" max="15104" width="26.5703125" style="18" customWidth="1"/>
    <col min="15105" max="15107" width="18.7109375" style="18" customWidth="1"/>
    <col min="15108" max="15108" width="20.7109375" style="18" customWidth="1"/>
    <col min="15109" max="15110" width="18.7109375" style="18" customWidth="1"/>
    <col min="15111" max="15356" width="9.140625" style="18"/>
    <col min="15357" max="15357" width="6.85546875" style="18" customWidth="1"/>
    <col min="15358" max="15358" width="7" style="18" customWidth="1"/>
    <col min="15359" max="15359" width="60.7109375" style="18" customWidth="1"/>
    <col min="15360" max="15360" width="26.5703125" style="18" customWidth="1"/>
    <col min="15361" max="15363" width="18.7109375" style="18" customWidth="1"/>
    <col min="15364" max="15364" width="20.7109375" style="18" customWidth="1"/>
    <col min="15365" max="15366" width="18.7109375" style="18" customWidth="1"/>
    <col min="15367" max="15612" width="9.140625" style="18"/>
    <col min="15613" max="15613" width="6.85546875" style="18" customWidth="1"/>
    <col min="15614" max="15614" width="7" style="18" customWidth="1"/>
    <col min="15615" max="15615" width="60.7109375" style="18" customWidth="1"/>
    <col min="15616" max="15616" width="26.5703125" style="18" customWidth="1"/>
    <col min="15617" max="15619" width="18.7109375" style="18" customWidth="1"/>
    <col min="15620" max="15620" width="20.7109375" style="18" customWidth="1"/>
    <col min="15621" max="15622" width="18.7109375" style="18" customWidth="1"/>
    <col min="15623" max="15868" width="9.140625" style="18"/>
    <col min="15869" max="15869" width="6.85546875" style="18" customWidth="1"/>
    <col min="15870" max="15870" width="7" style="18" customWidth="1"/>
    <col min="15871" max="15871" width="60.7109375" style="18" customWidth="1"/>
    <col min="15872" max="15872" width="26.5703125" style="18" customWidth="1"/>
    <col min="15873" max="15875" width="18.7109375" style="18" customWidth="1"/>
    <col min="15876" max="15876" width="20.7109375" style="18" customWidth="1"/>
    <col min="15877" max="15878" width="18.7109375" style="18" customWidth="1"/>
    <col min="15879" max="16124" width="9.140625" style="18"/>
    <col min="16125" max="16125" width="6.85546875" style="18" customWidth="1"/>
    <col min="16126" max="16126" width="7" style="18" customWidth="1"/>
    <col min="16127" max="16127" width="60.7109375" style="18" customWidth="1"/>
    <col min="16128" max="16128" width="26.5703125" style="18" customWidth="1"/>
    <col min="16129" max="16131" width="18.7109375" style="18" customWidth="1"/>
    <col min="16132" max="16132" width="20.7109375" style="18" customWidth="1"/>
    <col min="16133" max="16134" width="18.7109375" style="18" customWidth="1"/>
    <col min="16135" max="16384" width="9.140625" style="18"/>
  </cols>
  <sheetData>
    <row r="2" spans="2:6">
      <c r="C2" s="290"/>
      <c r="D2" s="375" t="s">
        <v>906</v>
      </c>
      <c r="E2" s="290"/>
      <c r="F2" s="290"/>
    </row>
    <row r="3" spans="2:6" s="155" customFormat="1">
      <c r="C3" s="290"/>
      <c r="D3" s="373" t="s">
        <v>722</v>
      </c>
      <c r="E3" s="290"/>
      <c r="F3" s="290"/>
    </row>
    <row r="4" spans="2:6" s="155" customFormat="1">
      <c r="C4" s="290"/>
      <c r="D4" s="277" t="s">
        <v>695</v>
      </c>
      <c r="E4" s="290"/>
      <c r="F4" s="290"/>
    </row>
    <row r="5" spans="2:6">
      <c r="B5" s="27"/>
      <c r="C5" s="27"/>
      <c r="D5" s="27"/>
      <c r="E5" s="27"/>
      <c r="F5" s="27"/>
    </row>
    <row r="6" spans="2:6">
      <c r="F6" s="209"/>
    </row>
    <row r="7" spans="2:6">
      <c r="B7" s="165" t="s">
        <v>256</v>
      </c>
      <c r="C7" s="27"/>
      <c r="D7" s="27"/>
      <c r="E7" s="27"/>
      <c r="F7" s="27"/>
    </row>
    <row r="8" spans="2:6">
      <c r="F8" s="26" t="s">
        <v>409</v>
      </c>
    </row>
    <row r="9" spans="2:6">
      <c r="B9" s="1365" t="s">
        <v>11</v>
      </c>
      <c r="C9" s="1365" t="s">
        <v>49</v>
      </c>
      <c r="D9" s="1365" t="s">
        <v>294</v>
      </c>
      <c r="E9" s="1365" t="s">
        <v>413</v>
      </c>
      <c r="F9" s="1365" t="s">
        <v>1011</v>
      </c>
    </row>
    <row r="10" spans="2:6">
      <c r="B10" s="1365"/>
      <c r="C10" s="1365"/>
      <c r="D10" s="1365"/>
      <c r="E10" s="1365"/>
      <c r="F10" s="1365"/>
    </row>
    <row r="11" spans="2:6">
      <c r="B11" s="93" t="s">
        <v>425</v>
      </c>
      <c r="C11" s="210" t="s">
        <v>446</v>
      </c>
      <c r="D11" s="151"/>
      <c r="E11" s="29"/>
      <c r="F11" s="29"/>
    </row>
    <row r="12" spans="2:6">
      <c r="B12" s="93">
        <v>1</v>
      </c>
      <c r="C12" s="210" t="s">
        <v>447</v>
      </c>
      <c r="D12" s="151"/>
      <c r="E12" s="29"/>
      <c r="F12" s="29"/>
    </row>
    <row r="13" spans="2:6">
      <c r="B13" s="92">
        <v>1.1000000000000001</v>
      </c>
      <c r="C13" s="151" t="s">
        <v>308</v>
      </c>
      <c r="D13" s="151" t="s">
        <v>296</v>
      </c>
      <c r="E13" s="29">
        <v>15.28</v>
      </c>
      <c r="F13" s="466">
        <f>E13</f>
        <v>15.28</v>
      </c>
    </row>
    <row r="14" spans="2:6">
      <c r="B14" s="92">
        <v>1.2000000000000002</v>
      </c>
      <c r="C14" s="151" t="s">
        <v>309</v>
      </c>
      <c r="D14" s="151" t="s">
        <v>298</v>
      </c>
      <c r="E14" s="29">
        <v>0</v>
      </c>
      <c r="F14" s="466">
        <f>E14</f>
        <v>0</v>
      </c>
    </row>
    <row r="15" spans="2:6">
      <c r="B15" s="92">
        <v>1.3000000000000003</v>
      </c>
      <c r="C15" s="151" t="s">
        <v>445</v>
      </c>
      <c r="D15" s="151" t="s">
        <v>299</v>
      </c>
      <c r="E15" s="688">
        <v>0.02</v>
      </c>
      <c r="F15" s="688">
        <f>E15</f>
        <v>0.02</v>
      </c>
    </row>
    <row r="16" spans="2:6">
      <c r="B16" s="93"/>
      <c r="C16" s="151"/>
      <c r="D16" s="151"/>
      <c r="E16" s="29"/>
      <c r="F16" s="29"/>
    </row>
    <row r="17" spans="2:7">
      <c r="B17" s="93">
        <v>2</v>
      </c>
      <c r="C17" s="210" t="s">
        <v>300</v>
      </c>
      <c r="D17" s="151"/>
      <c r="E17" s="29"/>
      <c r="F17" s="29"/>
    </row>
    <row r="18" spans="2:7">
      <c r="B18" s="92">
        <v>2.1</v>
      </c>
      <c r="C18" s="151" t="s">
        <v>448</v>
      </c>
      <c r="D18" s="151" t="s">
        <v>302</v>
      </c>
      <c r="E18" s="466">
        <f>'F1'!C24</f>
        <v>81.87306378000001</v>
      </c>
      <c r="F18" s="466">
        <f>+'F1.1'!D25</f>
        <v>81.809034999999994</v>
      </c>
    </row>
    <row r="19" spans="2:7">
      <c r="B19" s="92">
        <v>2.2000000000000002</v>
      </c>
      <c r="C19" s="151" t="s">
        <v>310</v>
      </c>
      <c r="D19" s="151" t="s">
        <v>304</v>
      </c>
      <c r="E19" s="29">
        <v>0</v>
      </c>
      <c r="F19" s="466"/>
    </row>
    <row r="20" spans="2:7">
      <c r="B20" s="92">
        <v>2.3000000000000003</v>
      </c>
      <c r="C20" s="151" t="s">
        <v>305</v>
      </c>
      <c r="D20" s="151" t="s">
        <v>409</v>
      </c>
      <c r="E20" s="550">
        <f>'F5.1'!D21</f>
        <v>43.300000000000004</v>
      </c>
      <c r="F20" s="466">
        <f>+'F5.1'!D21</f>
        <v>43.300000000000004</v>
      </c>
    </row>
    <row r="21" spans="2:7">
      <c r="B21" s="93"/>
      <c r="C21" s="29"/>
      <c r="D21" s="29"/>
      <c r="E21" s="105"/>
      <c r="F21" s="29"/>
    </row>
    <row r="22" spans="2:7">
      <c r="B22" s="93" t="s">
        <v>306</v>
      </c>
      <c r="C22" s="32" t="s">
        <v>307</v>
      </c>
      <c r="D22" s="210" t="s">
        <v>409</v>
      </c>
      <c r="E22" s="468">
        <f>+(E13*E18/1000)+(E14*E19/1000)+(E15*E20)</f>
        <v>2.1170204145584002</v>
      </c>
      <c r="F22" s="468">
        <f>+(F13*F18/1000)+(F14*F19/1000)+(F15*F20)</f>
        <v>2.1160420548000003</v>
      </c>
      <c r="G22" s="696"/>
    </row>
    <row r="26" spans="2:7">
      <c r="B26" s="165" t="s">
        <v>257</v>
      </c>
    </row>
    <row r="27" spans="2:7">
      <c r="F27" s="26" t="s">
        <v>409</v>
      </c>
    </row>
    <row r="28" spans="2:7" ht="15" customHeight="1">
      <c r="B28" s="1365" t="s">
        <v>11</v>
      </c>
      <c r="C28" s="1365" t="s">
        <v>49</v>
      </c>
      <c r="D28" s="1365" t="s">
        <v>294</v>
      </c>
      <c r="E28" s="1365" t="s">
        <v>413</v>
      </c>
      <c r="F28" s="1365" t="s">
        <v>1011</v>
      </c>
    </row>
    <row r="29" spans="2:7">
      <c r="B29" s="1365"/>
      <c r="C29" s="1365"/>
      <c r="D29" s="1365"/>
      <c r="E29" s="1365"/>
      <c r="F29" s="1365"/>
    </row>
    <row r="30" spans="2:7">
      <c r="B30" s="93" t="s">
        <v>425</v>
      </c>
      <c r="C30" s="210" t="s">
        <v>446</v>
      </c>
      <c r="D30" s="151"/>
      <c r="E30" s="29"/>
      <c r="F30" s="29"/>
    </row>
    <row r="31" spans="2:7">
      <c r="B31" s="93">
        <v>1</v>
      </c>
      <c r="C31" s="210" t="s">
        <v>447</v>
      </c>
      <c r="D31" s="151"/>
      <c r="E31" s="29"/>
      <c r="F31" s="29"/>
    </row>
    <row r="32" spans="2:7">
      <c r="B32" s="92">
        <v>1.1000000000000001</v>
      </c>
      <c r="C32" s="151" t="s">
        <v>295</v>
      </c>
      <c r="D32" s="151" t="s">
        <v>296</v>
      </c>
      <c r="E32" s="29">
        <v>12.59</v>
      </c>
      <c r="F32" s="690">
        <f>+E32</f>
        <v>12.59</v>
      </c>
    </row>
    <row r="33" spans="2:7">
      <c r="B33" s="92">
        <v>1.2000000000000002</v>
      </c>
      <c r="C33" s="151" t="s">
        <v>297</v>
      </c>
      <c r="D33" s="151" t="s">
        <v>298</v>
      </c>
      <c r="E33" s="29">
        <v>0</v>
      </c>
      <c r="F33" s="690">
        <f>+E33</f>
        <v>0</v>
      </c>
    </row>
    <row r="34" spans="2:7">
      <c r="B34" s="92">
        <v>1.3000000000000003</v>
      </c>
      <c r="C34" s="151" t="s">
        <v>445</v>
      </c>
      <c r="D34" s="151" t="s">
        <v>299</v>
      </c>
      <c r="E34" s="689">
        <v>2.5000000000000001E-3</v>
      </c>
      <c r="F34" s="689">
        <f>+E34</f>
        <v>2.5000000000000001E-3</v>
      </c>
    </row>
    <row r="35" spans="2:7">
      <c r="B35" s="93"/>
      <c r="C35" s="151"/>
      <c r="D35" s="151"/>
      <c r="E35" s="29"/>
      <c r="F35" s="29"/>
    </row>
    <row r="36" spans="2:7">
      <c r="B36" s="93">
        <v>2</v>
      </c>
      <c r="C36" s="210" t="s">
        <v>300</v>
      </c>
      <c r="D36" s="151"/>
      <c r="E36" s="29"/>
      <c r="F36" s="29"/>
    </row>
    <row r="37" spans="2:7">
      <c r="B37" s="92">
        <v>2.1</v>
      </c>
      <c r="C37" s="151" t="s">
        <v>301</v>
      </c>
      <c r="D37" s="151" t="s">
        <v>302</v>
      </c>
      <c r="E37" s="552">
        <f>E18</f>
        <v>81.87306378000001</v>
      </c>
      <c r="F37" s="680">
        <f>+'F1'!D24</f>
        <v>81.87306378000001</v>
      </c>
    </row>
    <row r="38" spans="2:7">
      <c r="B38" s="92">
        <v>2.2000000000000002</v>
      </c>
      <c r="C38" s="151" t="s">
        <v>303</v>
      </c>
      <c r="D38" s="151" t="s">
        <v>304</v>
      </c>
      <c r="E38" s="29">
        <v>0</v>
      </c>
      <c r="F38" s="552">
        <f>+F19</f>
        <v>0</v>
      </c>
    </row>
    <row r="39" spans="2:7">
      <c r="B39" s="92">
        <v>2.3000000000000003</v>
      </c>
      <c r="C39" s="151" t="s">
        <v>305</v>
      </c>
      <c r="D39" s="151" t="s">
        <v>409</v>
      </c>
      <c r="E39" s="29">
        <v>1.42</v>
      </c>
      <c r="F39" s="29">
        <f>+'F5.2'!D21</f>
        <v>1.42</v>
      </c>
    </row>
    <row r="40" spans="2:7" ht="16.5" customHeight="1">
      <c r="B40" s="93"/>
      <c r="C40" s="29"/>
      <c r="D40" s="29"/>
      <c r="E40" s="29"/>
      <c r="F40" s="29"/>
    </row>
    <row r="41" spans="2:7">
      <c r="B41" s="93" t="s">
        <v>306</v>
      </c>
      <c r="C41" s="32" t="s">
        <v>307</v>
      </c>
      <c r="D41" s="210" t="s">
        <v>409</v>
      </c>
      <c r="E41" s="468">
        <f>+(E32*E37/1000)+(E33*E38/1000)+(E34*E39)</f>
        <v>1.0343318729902</v>
      </c>
      <c r="F41" s="468">
        <f>+(F32*F37/1000)+(F33*F38/1000)+(F34*F39)</f>
        <v>1.0343318729902</v>
      </c>
      <c r="G41" s="696"/>
    </row>
    <row r="42" spans="2:7">
      <c r="B42" s="212"/>
      <c r="C42" s="165"/>
      <c r="D42" s="395"/>
      <c r="E42" s="170"/>
      <c r="F42" s="170"/>
    </row>
    <row r="47" spans="2:7">
      <c r="B47" s="27"/>
      <c r="C47" s="27"/>
      <c r="D47" s="27"/>
      <c r="E47" s="27"/>
      <c r="F47" s="27"/>
    </row>
  </sheetData>
  <mergeCells count="10">
    <mergeCell ref="D28:D29"/>
    <mergeCell ref="F28:F29"/>
    <mergeCell ref="B28:B29"/>
    <mergeCell ref="C28:C29"/>
    <mergeCell ref="B9:B10"/>
    <mergeCell ref="C9:C10"/>
    <mergeCell ref="D9:D10"/>
    <mergeCell ref="F9:F10"/>
    <mergeCell ref="E9:E10"/>
    <mergeCell ref="E28:E29"/>
  </mergeCells>
  <pageMargins left="0.55118110236220474" right="0.23622047244094491" top="0.51181102362204722" bottom="0.51181102362204722" header="0.23622047244094491" footer="0.23622047244094491"/>
  <pageSetup paperSize="9" scale="85" orientation="landscape" r:id="rId1"/>
  <headerFooter alignWithMargins="0">
    <oddHeader>&amp;F</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pageSetUpPr fitToPage="1"/>
  </sheetPr>
  <dimension ref="B1:O30"/>
  <sheetViews>
    <sheetView showGridLines="0" view="pageBreakPreview" zoomScale="60" zoomScaleNormal="80" workbookViewId="0">
      <selection activeCell="C11" sqref="C11:C12"/>
    </sheetView>
  </sheetViews>
  <sheetFormatPr defaultColWidth="9.140625" defaultRowHeight="15"/>
  <cols>
    <col min="1" max="1" width="9.140625" style="1"/>
    <col min="2" max="2" width="7.28515625" style="1" customWidth="1"/>
    <col min="3" max="3" width="31.42578125" style="1" customWidth="1"/>
    <col min="4" max="4" width="14.85546875" style="1" customWidth="1"/>
    <col min="5" max="5" width="13.7109375" style="1" customWidth="1"/>
    <col min="6" max="6" width="19.5703125" style="1" customWidth="1"/>
    <col min="7" max="8" width="14.7109375" style="1" customWidth="1"/>
    <col min="9" max="9" width="16.85546875" style="1" customWidth="1"/>
    <col min="10" max="10" width="17.140625" style="1" customWidth="1"/>
    <col min="11" max="11" width="19.5703125" style="1" customWidth="1"/>
    <col min="12" max="15" width="15.5703125" style="1" customWidth="1"/>
    <col min="16" max="16384" width="9.140625" style="1"/>
  </cols>
  <sheetData>
    <row r="1" spans="2:15">
      <c r="C1" s="182"/>
      <c r="D1" s="182"/>
      <c r="E1" s="182"/>
      <c r="F1" s="182"/>
      <c r="G1" s="182"/>
      <c r="H1" s="375" t="s">
        <v>906</v>
      </c>
    </row>
    <row r="2" spans="2:15">
      <c r="C2" s="54"/>
      <c r="D2" s="54"/>
      <c r="E2" s="54"/>
      <c r="F2" s="54"/>
      <c r="G2" s="54"/>
      <c r="H2" s="373" t="s">
        <v>724</v>
      </c>
    </row>
    <row r="3" spans="2:15">
      <c r="C3" s="54"/>
      <c r="D3" s="54"/>
      <c r="E3" s="54"/>
      <c r="F3" s="54"/>
      <c r="G3" s="54"/>
      <c r="H3" s="373" t="s">
        <v>311</v>
      </c>
    </row>
    <row r="4" spans="2:15">
      <c r="B4" s="77"/>
      <c r="C4" s="77"/>
      <c r="D4" s="77"/>
      <c r="E4" s="77"/>
      <c r="F4" s="358"/>
      <c r="G4" s="77"/>
    </row>
    <row r="5" spans="2:15">
      <c r="B5" s="167"/>
      <c r="C5" s="167"/>
      <c r="D5" s="167"/>
      <c r="E5" s="167"/>
      <c r="F5" s="358"/>
      <c r="G5" s="167"/>
    </row>
    <row r="6" spans="2:15">
      <c r="B6" s="165" t="s">
        <v>256</v>
      </c>
      <c r="C6" s="167"/>
      <c r="D6" s="167"/>
      <c r="E6" s="167"/>
      <c r="F6" s="358"/>
      <c r="G6" s="167"/>
    </row>
    <row r="7" spans="2:15">
      <c r="B7" s="165"/>
      <c r="C7" s="167"/>
      <c r="D7" s="167"/>
      <c r="E7" s="167"/>
      <c r="F7" s="358"/>
      <c r="G7" s="167"/>
    </row>
    <row r="8" spans="2:15">
      <c r="M8" s="26"/>
      <c r="O8" s="26" t="s">
        <v>16</v>
      </c>
    </row>
    <row r="9" spans="2:15" s="87" customFormat="1">
      <c r="B9" s="1421" t="s">
        <v>157</v>
      </c>
      <c r="C9" s="1423" t="s">
        <v>49</v>
      </c>
      <c r="D9" s="1425" t="s">
        <v>146</v>
      </c>
      <c r="E9" s="1426"/>
      <c r="F9" s="1427"/>
      <c r="G9" s="1425" t="s">
        <v>147</v>
      </c>
      <c r="H9" s="1426"/>
      <c r="I9" s="1426"/>
      <c r="J9" s="1426"/>
      <c r="K9" s="1427"/>
      <c r="L9" s="1425" t="s">
        <v>148</v>
      </c>
      <c r="M9" s="1427"/>
      <c r="N9" s="1425" t="s">
        <v>149</v>
      </c>
      <c r="O9" s="1427"/>
    </row>
    <row r="10" spans="2:15" s="87" customFormat="1" ht="28.5">
      <c r="B10" s="1422"/>
      <c r="C10" s="1424"/>
      <c r="D10" s="360" t="s">
        <v>697</v>
      </c>
      <c r="E10" s="377" t="s">
        <v>12</v>
      </c>
      <c r="F10" s="377" t="s">
        <v>729</v>
      </c>
      <c r="G10" s="360" t="s">
        <v>697</v>
      </c>
      <c r="H10" s="377" t="s">
        <v>673</v>
      </c>
      <c r="I10" s="377" t="s">
        <v>674</v>
      </c>
      <c r="J10" s="377" t="s">
        <v>696</v>
      </c>
      <c r="K10" s="377" t="s">
        <v>729</v>
      </c>
      <c r="L10" s="360" t="s">
        <v>697</v>
      </c>
      <c r="M10" s="377" t="s">
        <v>689</v>
      </c>
      <c r="N10" s="360" t="s">
        <v>697</v>
      </c>
      <c r="O10" s="377" t="s">
        <v>689</v>
      </c>
    </row>
    <row r="11" spans="2:15" s="87" customFormat="1">
      <c r="B11" s="186">
        <v>1</v>
      </c>
      <c r="C11" s="75" t="s">
        <v>87</v>
      </c>
      <c r="D11" s="1412">
        <f>+Backup!E195</f>
        <v>3.3593204862282811</v>
      </c>
      <c r="E11" s="644">
        <f>'F3.3'!E12</f>
        <v>2.1010896400000001</v>
      </c>
      <c r="F11" s="1164"/>
      <c r="G11" s="1412">
        <f>+D11*(1+E18)</f>
        <v>3.5188999127042657</v>
      </c>
      <c r="H11" s="644">
        <f>'F3.3'!F12</f>
        <v>0.63818566500000007</v>
      </c>
      <c r="I11" s="644">
        <f>'F3.3'!G12</f>
        <v>1.7420565572109443</v>
      </c>
      <c r="J11" s="644">
        <f>'F3.3'!H12</f>
        <v>2.3802422222109443</v>
      </c>
      <c r="K11" s="1418"/>
      <c r="L11" s="1412">
        <f>G11*(1+E18)</f>
        <v>3.6860599178891893</v>
      </c>
      <c r="M11" s="1412">
        <f>+Backup!G204</f>
        <v>3.9914103655372375</v>
      </c>
      <c r="N11" s="1412">
        <f>L11*(1+E18)</f>
        <v>3.8611606056813512</v>
      </c>
      <c r="O11" s="1412">
        <f>+Backup!H204</f>
        <v>4.4422971895463563</v>
      </c>
    </row>
    <row r="12" spans="2:15" s="87" customFormat="1">
      <c r="B12" s="186">
        <f>B11+1</f>
        <v>2</v>
      </c>
      <c r="C12" s="220" t="s">
        <v>526</v>
      </c>
      <c r="D12" s="1413"/>
      <c r="E12" s="644">
        <f>'F3.4'!E28</f>
        <v>0.19445003500000005</v>
      </c>
      <c r="F12" s="1164"/>
      <c r="G12" s="1413"/>
      <c r="H12" s="644">
        <f>'F3.4'!F28</f>
        <v>5.909689500000001E-2</v>
      </c>
      <c r="I12" s="644">
        <f>'F3.4'!G28</f>
        <v>0.11954689500000001</v>
      </c>
      <c r="J12" s="644">
        <f>'F3.4'!H28</f>
        <v>0.17864379000000002</v>
      </c>
      <c r="K12" s="1419"/>
      <c r="L12" s="1413"/>
      <c r="M12" s="1413"/>
      <c r="N12" s="1413"/>
      <c r="O12" s="1413"/>
    </row>
    <row r="13" spans="2:15" s="87" customFormat="1">
      <c r="B13" s="186">
        <f>B12+1</f>
        <v>3</v>
      </c>
      <c r="C13" s="75" t="s">
        <v>449</v>
      </c>
      <c r="D13" s="1414"/>
      <c r="E13" s="644">
        <f>'F3.5'!E17</f>
        <v>1.07623724</v>
      </c>
      <c r="F13" s="1164"/>
      <c r="G13" s="1414"/>
      <c r="H13" s="644">
        <f>'F3.5'!F17</f>
        <v>0.49426429</v>
      </c>
      <c r="I13" s="644">
        <f>'F3.5'!G17</f>
        <v>0.49426429</v>
      </c>
      <c r="J13" s="644">
        <f>'F3.5'!H17</f>
        <v>0.98852857999999999</v>
      </c>
      <c r="K13" s="1420"/>
      <c r="L13" s="1414"/>
      <c r="M13" s="1414"/>
      <c r="N13" s="1414"/>
      <c r="O13" s="1414"/>
    </row>
    <row r="14" spans="2:15">
      <c r="B14" s="78">
        <f>B13+1</f>
        <v>4</v>
      </c>
      <c r="C14" s="49" t="s">
        <v>88</v>
      </c>
      <c r="D14" s="831">
        <f>SUM(D11)</f>
        <v>3.3593204862282811</v>
      </c>
      <c r="E14" s="645">
        <f>SUM(E11:E13)</f>
        <v>3.3717769149999999</v>
      </c>
      <c r="F14" s="832">
        <f>E14-D14</f>
        <v>1.2456428771718819E-2</v>
      </c>
      <c r="G14" s="831">
        <f>SUM(G11)</f>
        <v>3.5188999127042657</v>
      </c>
      <c r="H14" s="645">
        <f>SUM(H11:H13)</f>
        <v>1.1915468500000002</v>
      </c>
      <c r="I14" s="645">
        <f t="shared" ref="I14" si="0">SUM(I11:I13)</f>
        <v>2.3558677422109442</v>
      </c>
      <c r="J14" s="645">
        <f>SUM(J11:J13)</f>
        <v>3.5474145922109446</v>
      </c>
      <c r="K14" s="832">
        <f>J14-G14</f>
        <v>2.8514679506678853E-2</v>
      </c>
      <c r="L14" s="831">
        <f>SUM(L11)</f>
        <v>3.6860599178891893</v>
      </c>
      <c r="M14" s="831">
        <f>SUM(M11)</f>
        <v>3.9914103655372375</v>
      </c>
      <c r="N14" s="831">
        <f>SUM(N11)</f>
        <v>3.8611606056813512</v>
      </c>
      <c r="O14" s="831">
        <f>SUM(O11)</f>
        <v>4.4422971895463563</v>
      </c>
    </row>
    <row r="15" spans="2:15">
      <c r="B15" s="78">
        <f>B14+1</f>
        <v>5</v>
      </c>
      <c r="C15" s="49" t="s">
        <v>154</v>
      </c>
      <c r="D15" s="3"/>
      <c r="E15" s="698">
        <f>+IF((D14-E14)&lt;0,(D14-E14)*2/3,(D14-E14)*1/3)*0</f>
        <v>0</v>
      </c>
      <c r="F15" s="4"/>
      <c r="G15" s="3"/>
      <c r="H15" s="4"/>
      <c r="I15" s="4"/>
      <c r="J15" s="698"/>
      <c r="K15" s="700"/>
      <c r="L15" s="4"/>
      <c r="M15" s="4"/>
      <c r="N15" s="698"/>
      <c r="O15" s="698"/>
    </row>
    <row r="16" spans="2:15" ht="30">
      <c r="B16" s="78">
        <f>B15+1</f>
        <v>6</v>
      </c>
      <c r="C16" s="79" t="s">
        <v>155</v>
      </c>
      <c r="D16" s="645"/>
      <c r="E16" s="645">
        <f>SUM(E14:E15)</f>
        <v>3.3717769149999999</v>
      </c>
      <c r="F16" s="832">
        <f>+E16-D14</f>
        <v>1.2456428771718819E-2</v>
      </c>
      <c r="G16" s="645">
        <f>+G14-J15</f>
        <v>3.5188999127042657</v>
      </c>
      <c r="H16" s="645">
        <f>SUM(H14:H15)</f>
        <v>1.1915468500000002</v>
      </c>
      <c r="I16" s="645">
        <f>SUM(I14:I15)</f>
        <v>2.3558677422109442</v>
      </c>
      <c r="J16" s="645">
        <f>SUM(J14:J15)</f>
        <v>3.5474145922109446</v>
      </c>
      <c r="K16" s="832">
        <f t="shared" ref="K16" si="1">J16-G16</f>
        <v>2.8514679506678853E-2</v>
      </c>
      <c r="L16" s="645">
        <f>SUM(L14:L15)</f>
        <v>3.6860599178891893</v>
      </c>
      <c r="M16" s="645">
        <f>SUM(M14:M15)</f>
        <v>3.9914103655372375</v>
      </c>
      <c r="N16" s="831">
        <f>SUM(N14:N15)</f>
        <v>3.8611606056813512</v>
      </c>
      <c r="O16" s="831">
        <f>SUM(O14:O15)</f>
        <v>4.4422971895463563</v>
      </c>
    </row>
    <row r="17" spans="2:15">
      <c r="G17" s="833"/>
    </row>
    <row r="18" spans="2:15">
      <c r="B18" s="165" t="s">
        <v>257</v>
      </c>
      <c r="C18" s="16"/>
      <c r="D18" s="7" t="s">
        <v>980</v>
      </c>
      <c r="E18" s="701">
        <f>+ASSUM!D74</f>
        <v>4.7503483853413069E-2</v>
      </c>
      <c r="G18" s="544"/>
      <c r="H18" s="544"/>
    </row>
    <row r="19" spans="2:15">
      <c r="B19" s="80"/>
      <c r="C19" s="158"/>
      <c r="D19" s="7"/>
    </row>
    <row r="20" spans="2:15">
      <c r="M20" s="26"/>
      <c r="O20" s="26" t="s">
        <v>16</v>
      </c>
    </row>
    <row r="21" spans="2:15" s="87" customFormat="1">
      <c r="B21" s="1421" t="s">
        <v>157</v>
      </c>
      <c r="C21" s="1423" t="s">
        <v>49</v>
      </c>
      <c r="D21" s="1425" t="s">
        <v>146</v>
      </c>
      <c r="E21" s="1426"/>
      <c r="F21" s="1427"/>
      <c r="G21" s="1425" t="s">
        <v>147</v>
      </c>
      <c r="H21" s="1426"/>
      <c r="I21" s="1426"/>
      <c r="J21" s="1426"/>
      <c r="K21" s="1427"/>
      <c r="L21" s="1425" t="s">
        <v>148</v>
      </c>
      <c r="M21" s="1427"/>
      <c r="N21" s="1425" t="s">
        <v>149</v>
      </c>
      <c r="O21" s="1427"/>
    </row>
    <row r="22" spans="2:15" s="87" customFormat="1" ht="28.5">
      <c r="B22" s="1422"/>
      <c r="C22" s="1424"/>
      <c r="D22" s="360" t="s">
        <v>697</v>
      </c>
      <c r="E22" s="377" t="s">
        <v>12</v>
      </c>
      <c r="F22" s="377" t="s">
        <v>729</v>
      </c>
      <c r="G22" s="360" t="s">
        <v>697</v>
      </c>
      <c r="H22" s="377" t="s">
        <v>673</v>
      </c>
      <c r="I22" s="377" t="s">
        <v>674</v>
      </c>
      <c r="J22" s="377" t="s">
        <v>696</v>
      </c>
      <c r="K22" s="377" t="s">
        <v>729</v>
      </c>
      <c r="L22" s="360" t="s">
        <v>697</v>
      </c>
      <c r="M22" s="377" t="s">
        <v>689</v>
      </c>
      <c r="N22" s="360" t="s">
        <v>697</v>
      </c>
      <c r="O22" s="377" t="s">
        <v>689</v>
      </c>
    </row>
    <row r="23" spans="2:15" s="87" customFormat="1">
      <c r="B23" s="186">
        <v>1</v>
      </c>
      <c r="C23" s="75" t="s">
        <v>87</v>
      </c>
      <c r="D23" s="1412">
        <f>+Backup!E196</f>
        <v>1.8088648771998432</v>
      </c>
      <c r="E23" s="644">
        <f>'F3.3'!E18</f>
        <v>1.13135596</v>
      </c>
      <c r="F23" s="1418"/>
      <c r="G23" s="1412">
        <f>D23*(1+E18)</f>
        <v>1.8947922606869119</v>
      </c>
      <c r="H23" s="644">
        <f>'F3.3'!F18</f>
        <v>0.34363843499999991</v>
      </c>
      <c r="I23" s="644">
        <f>'F3.3'!G18</f>
        <v>0.93803045388281614</v>
      </c>
      <c r="J23" s="644">
        <f>'F3.3'!H18</f>
        <v>1.281668888882816</v>
      </c>
      <c r="K23" s="1418"/>
      <c r="L23" s="1412">
        <f>G23*(1+E18)</f>
        <v>1.9848014942480243</v>
      </c>
      <c r="M23" s="1412">
        <f>+Backup!G205</f>
        <v>2.1492209660585124</v>
      </c>
      <c r="N23" s="1412">
        <f>L23*(1+E18)</f>
        <v>2.0790864799822653</v>
      </c>
      <c r="O23" s="1412">
        <f>+Backup!H205</f>
        <v>2.3920061789864988</v>
      </c>
    </row>
    <row r="24" spans="2:15" s="87" customFormat="1">
      <c r="B24" s="186">
        <f>B23+1</f>
        <v>2</v>
      </c>
      <c r="C24" s="220" t="s">
        <v>526</v>
      </c>
      <c r="D24" s="1413"/>
      <c r="E24" s="644">
        <f>'F3.4'!E52</f>
        <v>0.10470386500000001</v>
      </c>
      <c r="F24" s="1419"/>
      <c r="G24" s="1413"/>
      <c r="H24" s="644">
        <f>'F3.4'!F52</f>
        <v>3.1821404999999997E-2</v>
      </c>
      <c r="I24" s="644">
        <f>'F3.4'!G52</f>
        <v>6.4371404999999993E-2</v>
      </c>
      <c r="J24" s="644">
        <f>'F3.4'!H52</f>
        <v>9.619280999999999E-2</v>
      </c>
      <c r="K24" s="1419"/>
      <c r="L24" s="1413"/>
      <c r="M24" s="1413"/>
      <c r="N24" s="1413"/>
      <c r="O24" s="1413"/>
    </row>
    <row r="25" spans="2:15" s="87" customFormat="1">
      <c r="B25" s="186">
        <f>B24+1</f>
        <v>3</v>
      </c>
      <c r="C25" s="75" t="s">
        <v>449</v>
      </c>
      <c r="D25" s="1414"/>
      <c r="E25" s="644">
        <f>'F3.5'!E29</f>
        <v>0.57951236000000006</v>
      </c>
      <c r="F25" s="1420"/>
      <c r="G25" s="1414"/>
      <c r="H25" s="644">
        <f>'F3.5'!F29</f>
        <v>0.26614230999999999</v>
      </c>
      <c r="I25" s="644">
        <f>'F3.5'!G29</f>
        <v>0.26614230999999999</v>
      </c>
      <c r="J25" s="644">
        <f>'F3.5'!H29</f>
        <v>0.53228461999999999</v>
      </c>
      <c r="K25" s="1420"/>
      <c r="L25" s="1414"/>
      <c r="M25" s="1414"/>
      <c r="N25" s="1414"/>
      <c r="O25" s="1414"/>
    </row>
    <row r="26" spans="2:15">
      <c r="B26" s="78">
        <f>B25+1</f>
        <v>4</v>
      </c>
      <c r="C26" s="49" t="s">
        <v>88</v>
      </c>
      <c r="D26" s="831">
        <f>SUM(D23)</f>
        <v>1.8088648771998432</v>
      </c>
      <c r="E26" s="645">
        <f>SUM(E23:E25)</f>
        <v>1.8155721850000002</v>
      </c>
      <c r="F26" s="832">
        <f>E26-D26</f>
        <v>6.7073078001569364E-3</v>
      </c>
      <c r="G26" s="831">
        <f>SUM(G23)</f>
        <v>1.8947922606869119</v>
      </c>
      <c r="H26" s="645">
        <f>SUM(H23:H25)</f>
        <v>0.64160214999999987</v>
      </c>
      <c r="I26" s="645">
        <f t="shared" ref="I26:J26" si="2">SUM(I23:I25)</f>
        <v>1.2685441688828161</v>
      </c>
      <c r="J26" s="645">
        <f t="shared" si="2"/>
        <v>1.9101463188828161</v>
      </c>
      <c r="K26" s="832">
        <f>J26-G26</f>
        <v>1.5354058195904186E-2</v>
      </c>
      <c r="L26" s="698">
        <f>SUM(L23)</f>
        <v>1.9848014942480243</v>
      </c>
      <c r="M26" s="698">
        <f>SUM(M23)</f>
        <v>2.1492209660585124</v>
      </c>
      <c r="N26" s="698">
        <f>SUM(N23)</f>
        <v>2.0790864799822653</v>
      </c>
      <c r="O26" s="698">
        <f>SUM(O23)</f>
        <v>2.3920061789864988</v>
      </c>
    </row>
    <row r="27" spans="2:15">
      <c r="B27" s="78">
        <f>B26+1</f>
        <v>5</v>
      </c>
      <c r="C27" s="49" t="s">
        <v>154</v>
      </c>
      <c r="D27" s="3"/>
      <c r="E27" s="698">
        <f>+IF((D26-E26)&lt;0,(D26-E26)*2/3,(D26-E26)*1/3)*0</f>
        <v>0</v>
      </c>
      <c r="F27" s="4"/>
      <c r="G27" s="698"/>
      <c r="H27" s="4"/>
      <c r="I27" s="4"/>
      <c r="J27" s="4"/>
      <c r="K27" s="4"/>
      <c r="L27" s="4"/>
      <c r="M27" s="4"/>
      <c r="N27" s="4"/>
      <c r="O27" s="4"/>
    </row>
    <row r="28" spans="2:15" ht="30">
      <c r="B28" s="78">
        <f>B27+1</f>
        <v>6</v>
      </c>
      <c r="C28" s="79" t="s">
        <v>155</v>
      </c>
      <c r="D28" s="645"/>
      <c r="E28" s="699">
        <f>SUM(E26:E27)</f>
        <v>1.8155721850000002</v>
      </c>
      <c r="F28" s="700">
        <f>+E28-D26</f>
        <v>6.7073078001569364E-3</v>
      </c>
      <c r="G28" s="645">
        <f>+G26-G27</f>
        <v>1.8947922606869119</v>
      </c>
      <c r="H28" s="699">
        <f>SUM(H26:H27)</f>
        <v>0.64160214999999987</v>
      </c>
      <c r="I28" s="699">
        <f>SUM(I26:I27)</f>
        <v>1.2685441688828161</v>
      </c>
      <c r="J28" s="699">
        <f>SUM(J26:J27)</f>
        <v>1.9101463188828161</v>
      </c>
      <c r="K28" s="4"/>
      <c r="L28" s="699">
        <f>SUM(L26:L27)</f>
        <v>1.9848014942480243</v>
      </c>
      <c r="M28" s="699">
        <f>SUM(M26:M27)</f>
        <v>2.1492209660585124</v>
      </c>
      <c r="N28" s="699">
        <f>SUM(N26:N27)</f>
        <v>2.0790864799822653</v>
      </c>
      <c r="O28" s="699">
        <f>SUM(O26:O27)</f>
        <v>2.3920061789864988</v>
      </c>
    </row>
    <row r="30" spans="2:15">
      <c r="B30" s="216"/>
    </row>
  </sheetData>
  <mergeCells count="27">
    <mergeCell ref="D9:F9"/>
    <mergeCell ref="G9:K9"/>
    <mergeCell ref="L9:M9"/>
    <mergeCell ref="N9:O9"/>
    <mergeCell ref="B9:B10"/>
    <mergeCell ref="C9:C10"/>
    <mergeCell ref="M11:M13"/>
    <mergeCell ref="N11:N13"/>
    <mergeCell ref="O11:O13"/>
    <mergeCell ref="B21:B22"/>
    <mergeCell ref="C21:C22"/>
    <mergeCell ref="D21:F21"/>
    <mergeCell ref="G21:K21"/>
    <mergeCell ref="L21:M21"/>
    <mergeCell ref="N21:O21"/>
    <mergeCell ref="D11:D13"/>
    <mergeCell ref="G11:G13"/>
    <mergeCell ref="K11:K13"/>
    <mergeCell ref="L11:L13"/>
    <mergeCell ref="M23:M25"/>
    <mergeCell ref="N23:N25"/>
    <mergeCell ref="O23:O25"/>
    <mergeCell ref="D23:D25"/>
    <mergeCell ref="F23:F25"/>
    <mergeCell ref="G23:G25"/>
    <mergeCell ref="K23:K25"/>
    <mergeCell ref="L23:L25"/>
  </mergeCells>
  <pageMargins left="0.70866141732283472" right="0.70866141732283472" top="0.74803149606299213" bottom="0.74803149606299213" header="0.31496062992125984" footer="0.31496062992125984"/>
  <pageSetup scale="5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pageSetUpPr fitToPage="1"/>
  </sheetPr>
  <dimension ref="B2:H77"/>
  <sheetViews>
    <sheetView showGridLines="0" view="pageBreakPreview" topLeftCell="A40" zoomScale="60" zoomScaleNormal="80" workbookViewId="0">
      <selection activeCell="C11" sqref="C11:C12"/>
    </sheetView>
  </sheetViews>
  <sheetFormatPr defaultColWidth="9.140625" defaultRowHeight="15"/>
  <cols>
    <col min="1" max="1" width="6.85546875" style="18" customWidth="1"/>
    <col min="2" max="2" width="7" style="18" customWidth="1"/>
    <col min="3" max="3" width="42.5703125" style="18" customWidth="1"/>
    <col min="4" max="5" width="16.7109375" style="18" customWidth="1"/>
    <col min="6" max="6" width="14.140625" style="18" customWidth="1"/>
    <col min="7" max="7" width="15.7109375" style="18" customWidth="1"/>
    <col min="8" max="8" width="22" style="18" customWidth="1"/>
    <col min="9" max="16384" width="9.140625" style="18"/>
  </cols>
  <sheetData>
    <row r="2" spans="2:8">
      <c r="B2" s="182"/>
      <c r="C2" s="182"/>
      <c r="D2" s="182"/>
      <c r="E2" s="375" t="s">
        <v>906</v>
      </c>
      <c r="F2" s="182"/>
      <c r="G2" s="182"/>
    </row>
    <row r="3" spans="2:8" s="7" customFormat="1">
      <c r="B3" s="54"/>
      <c r="C3" s="54"/>
      <c r="D3" s="54"/>
      <c r="E3" s="373" t="s">
        <v>724</v>
      </c>
      <c r="F3" s="54"/>
      <c r="G3" s="54"/>
    </row>
    <row r="4" spans="2:8" s="7" customFormat="1">
      <c r="C4" s="101"/>
      <c r="D4" s="101"/>
      <c r="E4" s="317" t="s">
        <v>529</v>
      </c>
      <c r="F4" s="101"/>
      <c r="G4" s="155"/>
    </row>
    <row r="5" spans="2:8" s="7" customFormat="1">
      <c r="C5" s="23"/>
      <c r="D5" s="23"/>
      <c r="E5" s="23"/>
      <c r="F5" s="22"/>
    </row>
    <row r="6" spans="2:8" s="155" customFormat="1">
      <c r="C6" s="154"/>
      <c r="D6" s="154"/>
      <c r="E6" s="154"/>
      <c r="F6" s="22"/>
    </row>
    <row r="7" spans="2:8">
      <c r="B7" s="165" t="s">
        <v>256</v>
      </c>
    </row>
    <row r="8" spans="2:8">
      <c r="B8" s="165"/>
    </row>
    <row r="9" spans="2:8">
      <c r="H9" s="26" t="s">
        <v>16</v>
      </c>
    </row>
    <row r="10" spans="2:8" ht="15" customHeight="1">
      <c r="B10" s="1428" t="s">
        <v>11</v>
      </c>
      <c r="C10" s="1428" t="s">
        <v>49</v>
      </c>
      <c r="D10" s="356" t="s">
        <v>38</v>
      </c>
      <c r="E10" s="356" t="s">
        <v>146</v>
      </c>
      <c r="F10" s="1380" t="s">
        <v>147</v>
      </c>
      <c r="G10" s="1381"/>
      <c r="H10" s="1381"/>
    </row>
    <row r="11" spans="2:8" ht="28.5">
      <c r="B11" s="1429"/>
      <c r="C11" s="1429"/>
      <c r="D11" s="356" t="s">
        <v>282</v>
      </c>
      <c r="E11" s="356" t="s">
        <v>422</v>
      </c>
      <c r="F11" s="356" t="s">
        <v>416</v>
      </c>
      <c r="G11" s="356" t="s">
        <v>335</v>
      </c>
      <c r="H11" s="356" t="s">
        <v>71</v>
      </c>
    </row>
    <row r="12" spans="2:8">
      <c r="B12" s="92">
        <v>1</v>
      </c>
      <c r="C12" s="14" t="s">
        <v>905</v>
      </c>
      <c r="D12" s="583">
        <f>Backup!E182*ASSUM!C13/10^7</f>
        <v>1.86261231</v>
      </c>
      <c r="E12" s="583">
        <f>Backup!F182*ASSUM!D13/10^7</f>
        <v>2.1010896400000001</v>
      </c>
      <c r="F12" s="583">
        <f>Backup!G182*ASSUM!E13/10^7</f>
        <v>0.63818566500000007</v>
      </c>
      <c r="G12" s="583">
        <f>Backup!H182*ASSUM!F13/10^7</f>
        <v>1.7420565572109443</v>
      </c>
      <c r="H12" s="552">
        <f>G12+F12</f>
        <v>2.3802422222109443</v>
      </c>
    </row>
    <row r="14" spans="2:8">
      <c r="B14" s="165" t="s">
        <v>257</v>
      </c>
    </row>
    <row r="15" spans="2:8">
      <c r="H15" s="26" t="s">
        <v>16</v>
      </c>
    </row>
    <row r="16" spans="2:8">
      <c r="B16" s="1428" t="s">
        <v>11</v>
      </c>
      <c r="C16" s="1428" t="s">
        <v>49</v>
      </c>
      <c r="D16" s="356" t="s">
        <v>38</v>
      </c>
      <c r="E16" s="356" t="s">
        <v>146</v>
      </c>
      <c r="F16" s="1380" t="s">
        <v>147</v>
      </c>
      <c r="G16" s="1381"/>
      <c r="H16" s="1381"/>
    </row>
    <row r="17" spans="2:8" ht="28.5">
      <c r="B17" s="1429"/>
      <c r="C17" s="1429"/>
      <c r="D17" s="356" t="s">
        <v>282</v>
      </c>
      <c r="E17" s="356" t="s">
        <v>422</v>
      </c>
      <c r="F17" s="356" t="s">
        <v>416</v>
      </c>
      <c r="G17" s="356" t="s">
        <v>335</v>
      </c>
      <c r="H17" s="356" t="s">
        <v>71</v>
      </c>
    </row>
    <row r="18" spans="2:8">
      <c r="B18" s="92">
        <v>1</v>
      </c>
      <c r="C18" s="14" t="s">
        <v>905</v>
      </c>
      <c r="D18" s="444">
        <f>(Backup!E182/10^7)-'F3.3'!D12</f>
        <v>1.0029450900000001</v>
      </c>
      <c r="E18" s="444">
        <f>(Backup!F182/10^7)-'F3.3'!E12</f>
        <v>1.13135596</v>
      </c>
      <c r="F18" s="444">
        <f>(Backup!G182/10^7)-'F3.3'!F12</f>
        <v>0.34363843499999991</v>
      </c>
      <c r="G18" s="444">
        <f>(Backup!H182/10^7)-'F3.3'!G12</f>
        <v>0.93803045388281614</v>
      </c>
      <c r="H18" s="552">
        <f>G18+F18</f>
        <v>1.281668888882816</v>
      </c>
    </row>
    <row r="19" spans="2:8">
      <c r="B19" s="212"/>
      <c r="C19" s="165"/>
      <c r="D19" s="165"/>
      <c r="E19" s="165"/>
      <c r="F19" s="170"/>
      <c r="G19" s="53"/>
    </row>
    <row r="20" spans="2:8">
      <c r="B20" s="27" t="s">
        <v>312</v>
      </c>
      <c r="E20" s="994"/>
    </row>
    <row r="21" spans="2:8">
      <c r="B21" s="27"/>
    </row>
    <row r="22" spans="2:8">
      <c r="B22" s="165" t="s">
        <v>256</v>
      </c>
    </row>
    <row r="23" spans="2:8">
      <c r="B23" s="1428" t="s">
        <v>11</v>
      </c>
      <c r="C23" s="1428" t="s">
        <v>49</v>
      </c>
      <c r="D23" s="356" t="s">
        <v>38</v>
      </c>
      <c r="E23" s="356" t="s">
        <v>146</v>
      </c>
      <c r="F23" s="1380" t="s">
        <v>147</v>
      </c>
      <c r="G23" s="1381"/>
      <c r="H23" s="1381"/>
    </row>
    <row r="24" spans="2:8" ht="28.5">
      <c r="B24" s="1429"/>
      <c r="C24" s="1429"/>
      <c r="D24" s="356" t="s">
        <v>282</v>
      </c>
      <c r="E24" s="356" t="s">
        <v>422</v>
      </c>
      <c r="F24" s="356" t="s">
        <v>416</v>
      </c>
      <c r="G24" s="356" t="s">
        <v>335</v>
      </c>
      <c r="H24" s="356" t="s">
        <v>71</v>
      </c>
    </row>
    <row r="25" spans="2:8">
      <c r="B25" s="93" t="s">
        <v>82</v>
      </c>
      <c r="C25" s="32" t="s">
        <v>91</v>
      </c>
      <c r="D25" s="32"/>
      <c r="E25" s="32"/>
      <c r="F25" s="29"/>
      <c r="G25" s="29"/>
      <c r="H25" s="29"/>
    </row>
    <row r="26" spans="2:8">
      <c r="B26" s="78">
        <v>1</v>
      </c>
      <c r="C26" s="148" t="s">
        <v>953</v>
      </c>
      <c r="D26" s="148">
        <v>7</v>
      </c>
      <c r="E26" s="148">
        <v>7</v>
      </c>
      <c r="F26" s="29">
        <v>7</v>
      </c>
      <c r="G26" s="29">
        <v>7</v>
      </c>
      <c r="H26" s="29">
        <v>7</v>
      </c>
    </row>
    <row r="27" spans="2:8">
      <c r="B27" s="78">
        <v>2</v>
      </c>
      <c r="C27" s="148" t="s">
        <v>93</v>
      </c>
      <c r="D27" s="148">
        <v>0</v>
      </c>
      <c r="E27" s="148">
        <v>0</v>
      </c>
      <c r="F27" s="29">
        <v>0</v>
      </c>
      <c r="G27" s="29">
        <v>0</v>
      </c>
      <c r="H27" s="29">
        <v>0</v>
      </c>
    </row>
    <row r="28" spans="2:8">
      <c r="B28" s="78">
        <v>3</v>
      </c>
      <c r="C28" s="148" t="s">
        <v>94</v>
      </c>
      <c r="D28" s="148"/>
      <c r="E28" s="148"/>
      <c r="F28" s="29"/>
      <c r="G28" s="29"/>
      <c r="H28" s="29"/>
    </row>
    <row r="29" spans="2:8">
      <c r="B29" s="78">
        <v>4</v>
      </c>
      <c r="C29" s="148" t="s">
        <v>95</v>
      </c>
      <c r="D29" s="148"/>
      <c r="E29" s="148"/>
      <c r="F29" s="29"/>
      <c r="G29" s="29"/>
      <c r="H29" s="29"/>
    </row>
    <row r="30" spans="2:8">
      <c r="B30" s="149" t="s">
        <v>89</v>
      </c>
      <c r="C30" s="132" t="s">
        <v>96</v>
      </c>
      <c r="D30" s="1430" t="s">
        <v>954</v>
      </c>
      <c r="E30" s="1431"/>
      <c r="F30" s="1431"/>
      <c r="G30" s="1431"/>
      <c r="H30" s="1432"/>
    </row>
    <row r="31" spans="2:8">
      <c r="B31" s="78">
        <v>5</v>
      </c>
      <c r="C31" s="132" t="s">
        <v>92</v>
      </c>
      <c r="D31" s="29"/>
      <c r="E31" s="29"/>
      <c r="F31" s="29"/>
      <c r="G31" s="29"/>
      <c r="H31" s="29"/>
    </row>
    <row r="32" spans="2:8">
      <c r="B32" s="78">
        <f>+B31+0.1</f>
        <v>5.0999999999999996</v>
      </c>
      <c r="C32" s="148" t="s">
        <v>97</v>
      </c>
      <c r="D32" s="29"/>
      <c r="E32" s="29"/>
      <c r="F32" s="29"/>
      <c r="G32" s="29"/>
      <c r="H32" s="29"/>
    </row>
    <row r="33" spans="2:8">
      <c r="B33" s="78">
        <f>+B32+0.1</f>
        <v>5.1999999999999993</v>
      </c>
      <c r="C33" s="148" t="s">
        <v>98</v>
      </c>
      <c r="D33" s="29"/>
      <c r="E33" s="29"/>
      <c r="F33" s="29"/>
      <c r="G33" s="29"/>
      <c r="H33" s="29"/>
    </row>
    <row r="34" spans="2:8">
      <c r="B34" s="78">
        <f>+B33+0.1</f>
        <v>5.2999999999999989</v>
      </c>
      <c r="C34" s="148" t="s">
        <v>99</v>
      </c>
      <c r="D34" s="29"/>
      <c r="E34" s="29"/>
      <c r="F34" s="29"/>
      <c r="G34" s="29"/>
      <c r="H34" s="29"/>
    </row>
    <row r="35" spans="2:8">
      <c r="B35" s="78">
        <f>+B34+0.1</f>
        <v>5.3999999999999986</v>
      </c>
      <c r="C35" s="148" t="s">
        <v>100</v>
      </c>
      <c r="D35" s="29"/>
      <c r="E35" s="29"/>
      <c r="F35" s="29"/>
      <c r="G35" s="29"/>
      <c r="H35" s="29"/>
    </row>
    <row r="36" spans="2:8">
      <c r="B36" s="78">
        <v>6</v>
      </c>
      <c r="C36" s="132" t="s">
        <v>93</v>
      </c>
      <c r="D36" s="1430" t="s">
        <v>955</v>
      </c>
      <c r="E36" s="1431"/>
      <c r="F36" s="1431"/>
      <c r="G36" s="1431"/>
      <c r="H36" s="1432"/>
    </row>
    <row r="37" spans="2:8">
      <c r="B37" s="78">
        <f>+B36+0.1</f>
        <v>6.1</v>
      </c>
      <c r="C37" s="148" t="s">
        <v>97</v>
      </c>
      <c r="D37" s="29"/>
      <c r="E37" s="29"/>
      <c r="F37" s="29"/>
      <c r="G37" s="29"/>
      <c r="H37" s="29"/>
    </row>
    <row r="38" spans="2:8">
      <c r="B38" s="78">
        <f>+B37+0.1</f>
        <v>6.1999999999999993</v>
      </c>
      <c r="C38" s="148" t="s">
        <v>98</v>
      </c>
      <c r="D38" s="29"/>
      <c r="E38" s="29"/>
      <c r="F38" s="29"/>
      <c r="G38" s="29"/>
      <c r="H38" s="29"/>
    </row>
    <row r="39" spans="2:8">
      <c r="B39" s="78">
        <f>+B38+0.1</f>
        <v>6.2999999999999989</v>
      </c>
      <c r="C39" s="148" t="s">
        <v>99</v>
      </c>
      <c r="D39" s="29"/>
      <c r="E39" s="29"/>
      <c r="F39" s="29"/>
      <c r="G39" s="29"/>
      <c r="H39" s="29"/>
    </row>
    <row r="40" spans="2:8">
      <c r="B40" s="78">
        <f>+B39+0.1</f>
        <v>6.3999999999999986</v>
      </c>
      <c r="C40" s="148" t="s">
        <v>100</v>
      </c>
      <c r="D40" s="29"/>
      <c r="E40" s="29"/>
      <c r="F40" s="29"/>
      <c r="G40" s="29"/>
      <c r="H40" s="29"/>
    </row>
    <row r="41" spans="2:8">
      <c r="B41" s="78">
        <v>7</v>
      </c>
      <c r="C41" s="132" t="s">
        <v>94</v>
      </c>
      <c r="D41" s="1430" t="s">
        <v>955</v>
      </c>
      <c r="E41" s="1431"/>
      <c r="F41" s="1431"/>
      <c r="G41" s="1431"/>
      <c r="H41" s="1432"/>
    </row>
    <row r="42" spans="2:8">
      <c r="B42" s="78">
        <f>+B41+0.1</f>
        <v>7.1</v>
      </c>
      <c r="C42" s="148" t="s">
        <v>97</v>
      </c>
      <c r="D42" s="29"/>
      <c r="E42" s="29"/>
      <c r="F42" s="29"/>
      <c r="G42" s="29"/>
      <c r="H42" s="29"/>
    </row>
    <row r="43" spans="2:8">
      <c r="B43" s="78">
        <f>+B42+0.1</f>
        <v>7.1999999999999993</v>
      </c>
      <c r="C43" s="148" t="s">
        <v>98</v>
      </c>
      <c r="D43" s="29"/>
      <c r="E43" s="29"/>
      <c r="F43" s="29"/>
      <c r="G43" s="29"/>
      <c r="H43" s="29"/>
    </row>
    <row r="44" spans="2:8" ht="15" customHeight="1">
      <c r="B44" s="78">
        <v>8</v>
      </c>
      <c r="C44" s="132" t="s">
        <v>101</v>
      </c>
      <c r="D44" s="1433" t="s">
        <v>956</v>
      </c>
      <c r="E44" s="1434"/>
      <c r="F44" s="1434"/>
      <c r="G44" s="1434"/>
      <c r="H44" s="1435"/>
    </row>
    <row r="45" spans="2:8">
      <c r="B45" s="78">
        <f>+B44+0.1</f>
        <v>8.1</v>
      </c>
      <c r="C45" s="148" t="s">
        <v>97</v>
      </c>
      <c r="D45" s="148"/>
      <c r="E45" s="148"/>
      <c r="F45" s="29"/>
      <c r="G45" s="29"/>
      <c r="H45" s="29"/>
    </row>
    <row r="46" spans="2:8">
      <c r="B46" s="78">
        <f>+B45+0.1</f>
        <v>8.1999999999999993</v>
      </c>
      <c r="C46" s="148" t="s">
        <v>98</v>
      </c>
      <c r="D46" s="148"/>
      <c r="E46" s="148"/>
      <c r="F46" s="29"/>
      <c r="G46" s="29"/>
      <c r="H46" s="29"/>
    </row>
    <row r="47" spans="2:8">
      <c r="B47" s="150"/>
      <c r="C47" s="17" t="s">
        <v>102</v>
      </c>
      <c r="D47" s="17"/>
      <c r="E47" s="17"/>
      <c r="F47" s="102"/>
      <c r="G47" s="102"/>
      <c r="H47" s="102"/>
    </row>
    <row r="49" spans="2:8">
      <c r="B49" s="165" t="s">
        <v>257</v>
      </c>
    </row>
    <row r="51" spans="2:8">
      <c r="B51" s="1428" t="s">
        <v>11</v>
      </c>
      <c r="C51" s="1428" t="s">
        <v>49</v>
      </c>
      <c r="D51" s="356" t="s">
        <v>38</v>
      </c>
      <c r="E51" s="356" t="s">
        <v>146</v>
      </c>
      <c r="F51" s="1380" t="s">
        <v>147</v>
      </c>
      <c r="G51" s="1381"/>
      <c r="H51" s="1381"/>
    </row>
    <row r="52" spans="2:8" ht="28.5">
      <c r="B52" s="1429"/>
      <c r="C52" s="1429"/>
      <c r="D52" s="356" t="s">
        <v>282</v>
      </c>
      <c r="E52" s="356" t="s">
        <v>422</v>
      </c>
      <c r="F52" s="356" t="s">
        <v>416</v>
      </c>
      <c r="G52" s="356" t="s">
        <v>335</v>
      </c>
      <c r="H52" s="356" t="s">
        <v>71</v>
      </c>
    </row>
    <row r="53" spans="2:8">
      <c r="B53" s="93" t="s">
        <v>82</v>
      </c>
      <c r="C53" s="32" t="s">
        <v>91</v>
      </c>
      <c r="D53" s="32"/>
      <c r="E53" s="32"/>
      <c r="F53" s="29"/>
      <c r="G53" s="29"/>
      <c r="H53" s="29"/>
    </row>
    <row r="54" spans="2:8">
      <c r="B54" s="78">
        <v>1</v>
      </c>
      <c r="C54" s="148" t="s">
        <v>953</v>
      </c>
      <c r="D54" s="148"/>
      <c r="E54" s="148"/>
      <c r="F54" s="29"/>
      <c r="G54" s="29"/>
      <c r="H54" s="29"/>
    </row>
    <row r="55" spans="2:8">
      <c r="B55" s="78">
        <v>2</v>
      </c>
      <c r="C55" s="148" t="s">
        <v>93</v>
      </c>
      <c r="D55" s="148"/>
      <c r="E55" s="148"/>
      <c r="F55" s="29"/>
      <c r="G55" s="29"/>
      <c r="H55" s="29"/>
    </row>
    <row r="56" spans="2:8">
      <c r="B56" s="78">
        <v>3</v>
      </c>
      <c r="C56" s="148" t="s">
        <v>957</v>
      </c>
      <c r="D56" s="148">
        <v>1</v>
      </c>
      <c r="E56" s="148">
        <v>1</v>
      </c>
      <c r="F56" s="29">
        <v>1</v>
      </c>
      <c r="G56" s="29">
        <v>1</v>
      </c>
      <c r="H56" s="29">
        <v>1</v>
      </c>
    </row>
    <row r="57" spans="2:8">
      <c r="B57" s="78">
        <v>4</v>
      </c>
      <c r="C57" s="148" t="s">
        <v>95</v>
      </c>
      <c r="D57" s="148"/>
      <c r="E57" s="148"/>
      <c r="F57" s="29"/>
      <c r="G57" s="29"/>
      <c r="H57" s="29"/>
    </row>
    <row r="58" spans="2:8">
      <c r="B58" s="149" t="s">
        <v>89</v>
      </c>
      <c r="C58" s="132" t="s">
        <v>96</v>
      </c>
      <c r="D58" s="1430" t="s">
        <v>954</v>
      </c>
      <c r="E58" s="1431"/>
      <c r="F58" s="1431"/>
      <c r="G58" s="1431"/>
      <c r="H58" s="1432"/>
    </row>
    <row r="59" spans="2:8">
      <c r="B59" s="78">
        <v>5</v>
      </c>
      <c r="C59" s="132" t="s">
        <v>92</v>
      </c>
      <c r="D59" s="29"/>
      <c r="E59" s="29"/>
      <c r="F59" s="29"/>
      <c r="G59" s="29"/>
      <c r="H59" s="29"/>
    </row>
    <row r="60" spans="2:8">
      <c r="B60" s="78">
        <f>+B59+0.1</f>
        <v>5.0999999999999996</v>
      </c>
      <c r="C60" s="148" t="s">
        <v>97</v>
      </c>
      <c r="D60" s="29"/>
      <c r="E60" s="29"/>
      <c r="F60" s="29"/>
      <c r="G60" s="29"/>
      <c r="H60" s="29"/>
    </row>
    <row r="61" spans="2:8">
      <c r="B61" s="78">
        <f>+B60+0.1</f>
        <v>5.1999999999999993</v>
      </c>
      <c r="C61" s="148" t="s">
        <v>98</v>
      </c>
      <c r="D61" s="29"/>
      <c r="E61" s="29"/>
      <c r="F61" s="29"/>
      <c r="G61" s="29"/>
      <c r="H61" s="29"/>
    </row>
    <row r="62" spans="2:8">
      <c r="B62" s="78">
        <f>+B61+0.1</f>
        <v>5.2999999999999989</v>
      </c>
      <c r="C62" s="148" t="s">
        <v>99</v>
      </c>
      <c r="D62" s="29"/>
      <c r="E62" s="29"/>
      <c r="F62" s="29"/>
      <c r="G62" s="29"/>
      <c r="H62" s="29"/>
    </row>
    <row r="63" spans="2:8">
      <c r="B63" s="78">
        <f>+B62+0.1</f>
        <v>5.3999999999999986</v>
      </c>
      <c r="C63" s="148" t="s">
        <v>100</v>
      </c>
      <c r="D63" s="29"/>
      <c r="E63" s="29"/>
      <c r="F63" s="29"/>
      <c r="G63" s="29"/>
      <c r="H63" s="29"/>
    </row>
    <row r="64" spans="2:8">
      <c r="B64" s="78">
        <v>6</v>
      </c>
      <c r="C64" s="132" t="s">
        <v>93</v>
      </c>
      <c r="D64" s="1430" t="s">
        <v>955</v>
      </c>
      <c r="E64" s="1431"/>
      <c r="F64" s="1431"/>
      <c r="G64" s="1431"/>
      <c r="H64" s="1432"/>
    </row>
    <row r="65" spans="2:8">
      <c r="B65" s="78">
        <f>+B64+0.1</f>
        <v>6.1</v>
      </c>
      <c r="C65" s="148" t="s">
        <v>97</v>
      </c>
      <c r="D65" s="29"/>
      <c r="E65" s="29"/>
      <c r="F65" s="29"/>
      <c r="G65" s="29"/>
      <c r="H65" s="29"/>
    </row>
    <row r="66" spans="2:8">
      <c r="B66" s="78">
        <f>+B65+0.1</f>
        <v>6.1999999999999993</v>
      </c>
      <c r="C66" s="148" t="s">
        <v>98</v>
      </c>
      <c r="D66" s="29"/>
      <c r="E66" s="29"/>
      <c r="F66" s="29"/>
      <c r="G66" s="29"/>
      <c r="H66" s="29"/>
    </row>
    <row r="67" spans="2:8">
      <c r="B67" s="78">
        <f>+B66+0.1</f>
        <v>6.2999999999999989</v>
      </c>
      <c r="C67" s="148" t="s">
        <v>99</v>
      </c>
      <c r="D67" s="29"/>
      <c r="E67" s="29"/>
      <c r="F67" s="29"/>
      <c r="G67" s="29"/>
      <c r="H67" s="29"/>
    </row>
    <row r="68" spans="2:8">
      <c r="B68" s="78">
        <f>+B67+0.1</f>
        <v>6.3999999999999986</v>
      </c>
      <c r="C68" s="148" t="s">
        <v>100</v>
      </c>
      <c r="D68" s="29"/>
      <c r="E68" s="29"/>
      <c r="F68" s="29"/>
      <c r="G68" s="29"/>
      <c r="H68" s="29"/>
    </row>
    <row r="69" spans="2:8">
      <c r="B69" s="78">
        <v>7</v>
      </c>
      <c r="C69" s="132" t="s">
        <v>94</v>
      </c>
      <c r="D69" s="1430" t="s">
        <v>955</v>
      </c>
      <c r="E69" s="1431"/>
      <c r="F69" s="1431"/>
      <c r="G69" s="1431"/>
      <c r="H69" s="1432"/>
    </row>
    <row r="70" spans="2:8">
      <c r="B70" s="78">
        <f>+B69+0.1</f>
        <v>7.1</v>
      </c>
      <c r="C70" s="148" t="s">
        <v>97</v>
      </c>
      <c r="D70" s="29"/>
      <c r="E70" s="29"/>
      <c r="F70" s="29"/>
      <c r="G70" s="29"/>
      <c r="H70" s="29"/>
    </row>
    <row r="71" spans="2:8">
      <c r="B71" s="78">
        <f>+B70+0.1</f>
        <v>7.1999999999999993</v>
      </c>
      <c r="C71" s="148" t="s">
        <v>98</v>
      </c>
      <c r="D71" s="29"/>
      <c r="E71" s="29"/>
      <c r="F71" s="29"/>
      <c r="G71" s="29"/>
      <c r="H71" s="29"/>
    </row>
    <row r="72" spans="2:8">
      <c r="B72" s="78">
        <f>+B71+0.1</f>
        <v>7.2999999999999989</v>
      </c>
      <c r="C72" s="148" t="s">
        <v>99</v>
      </c>
      <c r="D72" s="29"/>
      <c r="E72" s="29"/>
      <c r="F72" s="29"/>
      <c r="G72" s="29"/>
      <c r="H72" s="29"/>
    </row>
    <row r="73" spans="2:8">
      <c r="B73" s="78">
        <f>+B72+0.1</f>
        <v>7.3999999999999986</v>
      </c>
      <c r="C73" s="148" t="s">
        <v>100</v>
      </c>
      <c r="D73" s="29"/>
      <c r="E73" s="29"/>
      <c r="F73" s="29"/>
      <c r="G73" s="29"/>
      <c r="H73" s="29"/>
    </row>
    <row r="74" spans="2:8">
      <c r="B74" s="78">
        <v>8</v>
      </c>
      <c r="C74" s="132" t="s">
        <v>101</v>
      </c>
      <c r="D74" s="1433" t="s">
        <v>956</v>
      </c>
      <c r="E74" s="1434"/>
      <c r="F74" s="1434"/>
      <c r="G74" s="1434"/>
      <c r="H74" s="1435"/>
    </row>
    <row r="75" spans="2:8">
      <c r="B75" s="78">
        <f>+B74+0.1</f>
        <v>8.1</v>
      </c>
      <c r="C75" s="148" t="s">
        <v>97</v>
      </c>
      <c r="D75" s="148"/>
      <c r="E75" s="148"/>
      <c r="F75" s="29"/>
      <c r="G75" s="29"/>
      <c r="H75" s="29"/>
    </row>
    <row r="76" spans="2:8">
      <c r="B76" s="78">
        <f>+B75+0.1</f>
        <v>8.1999999999999993</v>
      </c>
      <c r="C76" s="148" t="s">
        <v>98</v>
      </c>
      <c r="D76" s="148"/>
      <c r="E76" s="148"/>
      <c r="F76" s="29"/>
      <c r="G76" s="29"/>
      <c r="H76" s="29"/>
    </row>
    <row r="77" spans="2:8">
      <c r="B77" s="150"/>
      <c r="C77" s="17" t="s">
        <v>102</v>
      </c>
      <c r="D77" s="17"/>
      <c r="E77" s="17"/>
      <c r="F77" s="102"/>
      <c r="G77" s="102"/>
      <c r="H77" s="102"/>
    </row>
  </sheetData>
  <mergeCells count="20">
    <mergeCell ref="D58:H58"/>
    <mergeCell ref="D64:H64"/>
    <mergeCell ref="D69:H69"/>
    <mergeCell ref="D74:H74"/>
    <mergeCell ref="D30:H30"/>
    <mergeCell ref="D36:H36"/>
    <mergeCell ref="D41:H41"/>
    <mergeCell ref="D44:H44"/>
    <mergeCell ref="B51:B52"/>
    <mergeCell ref="C51:C52"/>
    <mergeCell ref="F51:H51"/>
    <mergeCell ref="B10:B11"/>
    <mergeCell ref="C10:C11"/>
    <mergeCell ref="F10:H10"/>
    <mergeCell ref="B16:B17"/>
    <mergeCell ref="C16:C17"/>
    <mergeCell ref="F16:H16"/>
    <mergeCell ref="B23:B24"/>
    <mergeCell ref="C23:C24"/>
    <mergeCell ref="F23:H23"/>
  </mergeCells>
  <pageMargins left="0.74803149606299213" right="0.74803149606299213" top="0.98425196850393704" bottom="0.98425196850393704" header="0.51181102362204722" footer="0.51181102362204722"/>
  <pageSetup paperSize="9" scale="93" fitToHeight="0" orientation="landscape" r:id="rId1"/>
  <headerFooter alignWithMargins="0"/>
  <rowBreaks count="2" manualBreakCount="2">
    <brk id="19" max="16383" man="1"/>
    <brk id="4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pageSetUpPr fitToPage="1"/>
  </sheetPr>
  <dimension ref="B2:H52"/>
  <sheetViews>
    <sheetView showGridLines="0" view="pageBreakPreview" topLeftCell="A12" zoomScale="60" zoomScaleNormal="70" workbookViewId="0">
      <selection activeCell="C11" sqref="C11:C12"/>
    </sheetView>
  </sheetViews>
  <sheetFormatPr defaultColWidth="9.140625" defaultRowHeight="15"/>
  <cols>
    <col min="1" max="1" width="6.85546875" style="18" customWidth="1"/>
    <col min="2" max="2" width="7" style="18" customWidth="1"/>
    <col min="3" max="3" width="41.28515625" style="18" customWidth="1"/>
    <col min="4" max="4" width="16.28515625" style="18" customWidth="1"/>
    <col min="5" max="5" width="18.28515625" style="18" customWidth="1"/>
    <col min="6" max="6" width="18" style="18" customWidth="1"/>
    <col min="7" max="7" width="19.85546875" style="18" customWidth="1"/>
    <col min="8" max="8" width="21" style="18" customWidth="1"/>
    <col min="9" max="16384" width="9.140625" style="18"/>
  </cols>
  <sheetData>
    <row r="2" spans="2:8">
      <c r="C2" s="101"/>
      <c r="D2" s="375" t="s">
        <v>906</v>
      </c>
      <c r="F2" s="101"/>
      <c r="G2" s="101"/>
    </row>
    <row r="3" spans="2:8" s="7" customFormat="1">
      <c r="C3" s="101"/>
      <c r="D3" s="373" t="s">
        <v>724</v>
      </c>
      <c r="F3" s="101"/>
      <c r="G3" s="101"/>
    </row>
    <row r="4" spans="2:8" s="7" customFormat="1">
      <c r="C4" s="101"/>
      <c r="D4" s="277" t="s">
        <v>313</v>
      </c>
      <c r="F4" s="101"/>
      <c r="G4" s="101"/>
    </row>
    <row r="6" spans="2:8">
      <c r="B6" s="165" t="s">
        <v>256</v>
      </c>
    </row>
    <row r="8" spans="2:8">
      <c r="H8" s="26" t="s">
        <v>16</v>
      </c>
    </row>
    <row r="9" spans="2:8">
      <c r="B9" s="1428" t="s">
        <v>11</v>
      </c>
      <c r="C9" s="1428" t="s">
        <v>49</v>
      </c>
      <c r="D9" s="356" t="s">
        <v>38</v>
      </c>
      <c r="E9" s="356" t="s">
        <v>146</v>
      </c>
      <c r="F9" s="1380" t="s">
        <v>147</v>
      </c>
      <c r="G9" s="1381"/>
      <c r="H9" s="1381"/>
    </row>
    <row r="10" spans="2:8" ht="28.5">
      <c r="B10" s="1429"/>
      <c r="C10" s="1429"/>
      <c r="D10" s="356" t="s">
        <v>282</v>
      </c>
      <c r="E10" s="356" t="s">
        <v>422</v>
      </c>
      <c r="F10" s="356" t="s">
        <v>416</v>
      </c>
      <c r="G10" s="356" t="s">
        <v>335</v>
      </c>
      <c r="H10" s="356" t="s">
        <v>71</v>
      </c>
    </row>
    <row r="11" spans="2:8">
      <c r="B11" s="29">
        <v>1</v>
      </c>
      <c r="C11" s="641" t="s">
        <v>887</v>
      </c>
      <c r="D11" s="466">
        <f>(Backup!E166/10^7)*ASSUM!C$13</f>
        <v>0</v>
      </c>
      <c r="E11" s="466">
        <f>(Backup!F166/10^7)*ASSUM!D$13</f>
        <v>0</v>
      </c>
      <c r="F11" s="466">
        <f>(Backup!G166/10^7)*ASSUM!E$13</f>
        <v>0</v>
      </c>
      <c r="G11" s="466">
        <f>(Backup!H166/10^7)*ASSUM!F$13</f>
        <v>0</v>
      </c>
      <c r="H11" s="466">
        <f>G11+F11</f>
        <v>0</v>
      </c>
    </row>
    <row r="12" spans="2:8">
      <c r="B12" s="29">
        <v>2</v>
      </c>
      <c r="C12" s="641" t="s">
        <v>888</v>
      </c>
      <c r="D12" s="466">
        <f>(Backup!E167/10^7)*ASSUM!C$13</f>
        <v>0</v>
      </c>
      <c r="E12" s="466">
        <f>(Backup!F167/10^7)*ASSUM!D$13</f>
        <v>1.1490700000000001E-3</v>
      </c>
      <c r="F12" s="466">
        <f>(Backup!G167/10^7)*ASSUM!E$13</f>
        <v>0</v>
      </c>
      <c r="G12" s="466">
        <f>(Backup!H167/10^7)*ASSUM!F$13</f>
        <v>0</v>
      </c>
      <c r="H12" s="466">
        <f t="shared" ref="H12:H25" si="0">G12+F12</f>
        <v>0</v>
      </c>
    </row>
    <row r="13" spans="2:8">
      <c r="B13" s="29">
        <v>3</v>
      </c>
      <c r="C13" s="641" t="s">
        <v>889</v>
      </c>
      <c r="D13" s="466">
        <f>(Backup!E168/10^7)*ASSUM!C$13</f>
        <v>7.0976750000000005E-2</v>
      </c>
      <c r="E13" s="466">
        <f>(Backup!F168/10^7)*ASSUM!D$13</f>
        <v>8.5150000000000003E-2</v>
      </c>
      <c r="F13" s="466">
        <f>(Backup!G168/10^7)*ASSUM!E$13</f>
        <v>1.235E-2</v>
      </c>
      <c r="G13" s="466">
        <f>(Backup!H168/10^7)*ASSUM!F$13</f>
        <v>7.2800000000000004E-2</v>
      </c>
      <c r="H13" s="466">
        <f t="shared" si="0"/>
        <v>8.5150000000000003E-2</v>
      </c>
    </row>
    <row r="14" spans="2:8">
      <c r="B14" s="29">
        <v>4</v>
      </c>
      <c r="C14" s="641" t="s">
        <v>890</v>
      </c>
      <c r="D14" s="466">
        <f>(Backup!E169/10^7)*ASSUM!C$13</f>
        <v>1.4927900000000001E-3</v>
      </c>
      <c r="E14" s="466">
        <f>(Backup!F169/10^7)*ASSUM!D$13</f>
        <v>1.1876280000000001E-2</v>
      </c>
      <c r="F14" s="466">
        <f>(Backup!G169/10^7)*ASSUM!E$13</f>
        <v>1.5695615000000003E-2</v>
      </c>
      <c r="G14" s="466">
        <f>(Backup!H169/10^7)*ASSUM!F$13</f>
        <v>1.5695615000000003E-2</v>
      </c>
      <c r="H14" s="466">
        <f t="shared" si="0"/>
        <v>3.1391230000000006E-2</v>
      </c>
    </row>
    <row r="15" spans="2:8">
      <c r="B15" s="29">
        <v>5</v>
      </c>
      <c r="C15" s="641" t="s">
        <v>891</v>
      </c>
      <c r="D15" s="466">
        <f>(Backup!E170/10^7)*ASSUM!C$13</f>
        <v>9.6298149999999999E-3</v>
      </c>
      <c r="E15" s="466">
        <f>(Backup!F170/10^7)*ASSUM!D$13</f>
        <v>2.8455049999999999E-3</v>
      </c>
      <c r="F15" s="466">
        <f>(Backup!G170/10^7)*ASSUM!E$13</f>
        <v>1.3158600000000001E-3</v>
      </c>
      <c r="G15" s="466">
        <f>(Backup!H170/10^7)*ASSUM!F$13</f>
        <v>1.3158600000000001E-3</v>
      </c>
      <c r="H15" s="466">
        <f t="shared" si="0"/>
        <v>2.6317200000000002E-3</v>
      </c>
    </row>
    <row r="16" spans="2:8">
      <c r="B16" s="29">
        <v>6</v>
      </c>
      <c r="C16" s="641" t="s">
        <v>892</v>
      </c>
      <c r="D16" s="466">
        <f>(Backup!E171/10^7)*ASSUM!C$13</f>
        <v>0</v>
      </c>
      <c r="E16" s="466">
        <f>(Backup!F171/10^7)*ASSUM!D$13</f>
        <v>0</v>
      </c>
      <c r="F16" s="466">
        <f>(Backup!G171/10^7)*ASSUM!E$13</f>
        <v>0</v>
      </c>
      <c r="G16" s="466">
        <f>(Backup!H171/10^7)*ASSUM!F$13</f>
        <v>0</v>
      </c>
      <c r="H16" s="466">
        <f t="shared" si="0"/>
        <v>0</v>
      </c>
    </row>
    <row r="17" spans="2:8">
      <c r="B17" s="29">
        <v>7</v>
      </c>
      <c r="C17" s="641" t="s">
        <v>893</v>
      </c>
      <c r="D17" s="466">
        <f>(Backup!E172/10^7)*ASSUM!C$13</f>
        <v>0.1110525</v>
      </c>
      <c r="E17" s="466">
        <f>(Backup!F172/10^7)*ASSUM!D$13</f>
        <v>2.8937999999999998E-2</v>
      </c>
      <c r="F17" s="466">
        <f>(Backup!G172/10^7)*ASSUM!E$13</f>
        <v>2.0346300000000005E-2</v>
      </c>
      <c r="G17" s="466">
        <f>(Backup!H172/10^7)*ASSUM!F$13</f>
        <v>2.0346300000000005E-2</v>
      </c>
      <c r="H17" s="466">
        <f t="shared" si="0"/>
        <v>4.0692600000000009E-2</v>
      </c>
    </row>
    <row r="18" spans="2:8">
      <c r="B18" s="29">
        <v>8</v>
      </c>
      <c r="C18" s="641" t="s">
        <v>103</v>
      </c>
      <c r="D18" s="466">
        <f>(Backup!E173/10^7)*ASSUM!C$13</f>
        <v>1.5080845000000001E-2</v>
      </c>
      <c r="E18" s="466">
        <f>(Backup!F173/10^7)*ASSUM!D$13</f>
        <v>1.8894070000000002E-2</v>
      </c>
      <c r="F18" s="466">
        <f>(Backup!G173/10^7)*ASSUM!E$13</f>
        <v>0</v>
      </c>
      <c r="G18" s="466">
        <f>(Backup!H173/10^7)*ASSUM!F$13</f>
        <v>0</v>
      </c>
      <c r="H18" s="466">
        <f t="shared" si="0"/>
        <v>0</v>
      </c>
    </row>
    <row r="19" spans="2:8">
      <c r="B19" s="29">
        <v>9</v>
      </c>
      <c r="C19" s="641" t="s">
        <v>894</v>
      </c>
      <c r="D19" s="466">
        <f>(Backup!E174/10^7)*ASSUM!C$13</f>
        <v>5.9540000000000003E-5</v>
      </c>
      <c r="E19" s="466">
        <f>(Backup!F174/10^7)*ASSUM!D$13</f>
        <v>1.7205500000000001E-4</v>
      </c>
      <c r="F19" s="466">
        <f>(Backup!G174/10^7)*ASSUM!E$13</f>
        <v>8.3980000000000006E-5</v>
      </c>
      <c r="G19" s="466">
        <f>(Backup!H174/10^7)*ASSUM!F$13</f>
        <v>8.3980000000000006E-5</v>
      </c>
      <c r="H19" s="466">
        <f t="shared" si="0"/>
        <v>1.6796000000000001E-4</v>
      </c>
    </row>
    <row r="20" spans="2:8">
      <c r="B20" s="29">
        <v>10</v>
      </c>
      <c r="C20" s="641" t="s">
        <v>895</v>
      </c>
      <c r="D20" s="466">
        <f>(Backup!E175/10^7)*ASSUM!C$13</f>
        <v>0</v>
      </c>
      <c r="E20" s="466">
        <f>(Backup!F175/10^7)*ASSUM!D$13</f>
        <v>0</v>
      </c>
      <c r="F20" s="466">
        <f>(Backup!G175/10^7)*ASSUM!E$13</f>
        <v>0</v>
      </c>
      <c r="G20" s="466">
        <f>(Backup!H175/10^7)*ASSUM!F$13</f>
        <v>0</v>
      </c>
      <c r="H20" s="466">
        <f t="shared" si="0"/>
        <v>0</v>
      </c>
    </row>
    <row r="21" spans="2:8">
      <c r="B21" s="29">
        <v>11</v>
      </c>
      <c r="C21" s="641" t="s">
        <v>896</v>
      </c>
      <c r="D21" s="466">
        <f>(Backup!E176/10^7)*ASSUM!C$13</f>
        <v>1.0456940000000001E-2</v>
      </c>
      <c r="E21" s="466">
        <f>(Backup!F176/10^7)*ASSUM!D$13</f>
        <v>4.2820050000000002E-3</v>
      </c>
      <c r="F21" s="466">
        <f>(Backup!G176/10^7)*ASSUM!E$13</f>
        <v>4.6283900000000005E-3</v>
      </c>
      <c r="G21" s="466">
        <f>(Backup!H176/10^7)*ASSUM!F$13</f>
        <v>4.6283900000000005E-3</v>
      </c>
      <c r="H21" s="466">
        <f t="shared" si="0"/>
        <v>9.2567800000000009E-3</v>
      </c>
    </row>
    <row r="22" spans="2:8">
      <c r="B22" s="29">
        <v>12</v>
      </c>
      <c r="C22" s="641" t="s">
        <v>897</v>
      </c>
      <c r="D22" s="466">
        <f>(Backup!E177/10^7)*ASSUM!C$13</f>
        <v>0</v>
      </c>
      <c r="E22" s="466">
        <f>(Backup!F177/10^7)*ASSUM!D$13</f>
        <v>0</v>
      </c>
      <c r="F22" s="466">
        <f>(Backup!G177/10^7)*ASSUM!E$13</f>
        <v>0</v>
      </c>
      <c r="G22" s="466">
        <f>(Backup!H177/10^7)*ASSUM!F$13</f>
        <v>0</v>
      </c>
      <c r="H22" s="466">
        <f t="shared" si="0"/>
        <v>0</v>
      </c>
    </row>
    <row r="23" spans="2:8">
      <c r="B23" s="29">
        <v>13</v>
      </c>
      <c r="C23" s="641" t="s">
        <v>898</v>
      </c>
      <c r="D23" s="466">
        <f>(Backup!E178/10^7)*ASSUM!C$13</f>
        <v>0</v>
      </c>
      <c r="E23" s="466">
        <f>(Backup!F178/10^7)*ASSUM!D$13</f>
        <v>0</v>
      </c>
      <c r="F23" s="466">
        <f>(Backup!G178/10^7)*ASSUM!E$13</f>
        <v>0</v>
      </c>
      <c r="G23" s="466">
        <f>(Backup!H178/10^7)*ASSUM!F$13</f>
        <v>0</v>
      </c>
      <c r="H23" s="466">
        <f t="shared" si="0"/>
        <v>0</v>
      </c>
    </row>
    <row r="24" spans="2:8">
      <c r="B24" s="29">
        <v>14</v>
      </c>
      <c r="C24" s="641" t="s">
        <v>1086</v>
      </c>
      <c r="D24" s="466">
        <f>(Backup!E179/10^7)*ASSUM!C$13</f>
        <v>0.12505434499999998</v>
      </c>
      <c r="E24" s="466">
        <f>(Backup!F179/10^7)*ASSUM!D$13</f>
        <v>4.1143050000000007E-2</v>
      </c>
      <c r="F24" s="466">
        <f>(Backup!G179/10^7)*ASSUM!E$13</f>
        <v>4.6767500000000004E-3</v>
      </c>
      <c r="G24" s="466">
        <f>(Backup!H179/10^7)*ASSUM!F$13</f>
        <v>4.6767500000000004E-3</v>
      </c>
      <c r="H24" s="466">
        <f t="shared" si="0"/>
        <v>9.3535000000000007E-3</v>
      </c>
    </row>
    <row r="25" spans="2:8">
      <c r="B25" s="29">
        <v>15</v>
      </c>
      <c r="C25" s="642" t="s">
        <v>900</v>
      </c>
      <c r="D25" s="466">
        <f>(Backup!E180/10^7)*ASSUM!C$13</f>
        <v>7.0492500000000002E-4</v>
      </c>
      <c r="E25" s="466">
        <f>(Backup!F180/10^7)*ASSUM!D$13</f>
        <v>0</v>
      </c>
      <c r="F25" s="466">
        <f>(Backup!G180/10^7)*ASSUM!E$13</f>
        <v>0</v>
      </c>
      <c r="G25" s="466">
        <f>(Backup!H180/10^7)*ASSUM!F$13</f>
        <v>0</v>
      </c>
      <c r="H25" s="466">
        <f t="shared" si="0"/>
        <v>0</v>
      </c>
    </row>
    <row r="26" spans="2:8">
      <c r="B26" s="29"/>
      <c r="C26" s="30" t="s">
        <v>104</v>
      </c>
      <c r="D26" s="558">
        <f>SUM(D11:D25)</f>
        <v>0.34450845000000002</v>
      </c>
      <c r="E26" s="558">
        <f t="shared" ref="E26:H26" si="1">SUM(E11:E25)</f>
        <v>0.19445003500000005</v>
      </c>
      <c r="F26" s="558">
        <f t="shared" si="1"/>
        <v>5.909689500000001E-2</v>
      </c>
      <c r="G26" s="558">
        <f t="shared" si="1"/>
        <v>0.11954689500000001</v>
      </c>
      <c r="H26" s="558">
        <f t="shared" si="1"/>
        <v>0.17864379000000002</v>
      </c>
    </row>
    <row r="27" spans="2:8">
      <c r="B27" s="29"/>
      <c r="C27" s="14" t="s">
        <v>48</v>
      </c>
      <c r="D27" s="466">
        <v>0</v>
      </c>
      <c r="E27" s="466">
        <v>0</v>
      </c>
      <c r="F27" s="466">
        <v>0</v>
      </c>
      <c r="G27" s="466">
        <v>0</v>
      </c>
      <c r="H27" s="466">
        <v>0</v>
      </c>
    </row>
    <row r="28" spans="2:8">
      <c r="B28" s="29"/>
      <c r="C28" s="32" t="s">
        <v>105</v>
      </c>
      <c r="D28" s="558">
        <f>D26-D27</f>
        <v>0.34450845000000002</v>
      </c>
      <c r="E28" s="558">
        <f t="shared" ref="E28:H28" si="2">E26-E27</f>
        <v>0.19445003500000005</v>
      </c>
      <c r="F28" s="558">
        <f t="shared" si="2"/>
        <v>5.909689500000001E-2</v>
      </c>
      <c r="G28" s="558">
        <f t="shared" si="2"/>
        <v>0.11954689500000001</v>
      </c>
      <c r="H28" s="558">
        <f t="shared" si="2"/>
        <v>0.17864379000000002</v>
      </c>
    </row>
    <row r="31" spans="2:8">
      <c r="B31" s="165" t="s">
        <v>257</v>
      </c>
    </row>
    <row r="32" spans="2:8">
      <c r="H32" s="26" t="s">
        <v>16</v>
      </c>
    </row>
    <row r="33" spans="2:8">
      <c r="B33" s="1428" t="s">
        <v>11</v>
      </c>
      <c r="C33" s="1428" t="s">
        <v>49</v>
      </c>
      <c r="D33" s="356" t="s">
        <v>38</v>
      </c>
      <c r="E33" s="356" t="s">
        <v>146</v>
      </c>
      <c r="F33" s="1380" t="s">
        <v>147</v>
      </c>
      <c r="G33" s="1381"/>
      <c r="H33" s="1381"/>
    </row>
    <row r="34" spans="2:8" ht="28.5">
      <c r="B34" s="1429"/>
      <c r="C34" s="1429"/>
      <c r="D34" s="356" t="s">
        <v>282</v>
      </c>
      <c r="E34" s="356" t="s">
        <v>422</v>
      </c>
      <c r="F34" s="356" t="s">
        <v>416</v>
      </c>
      <c r="G34" s="356" t="s">
        <v>335</v>
      </c>
      <c r="H34" s="356" t="s">
        <v>71</v>
      </c>
    </row>
    <row r="35" spans="2:8">
      <c r="B35" s="29">
        <v>1</v>
      </c>
      <c r="C35" s="641" t="s">
        <v>887</v>
      </c>
      <c r="D35" s="466">
        <f>(Backup!E166/10^7)-'F3.4'!D11</f>
        <v>0</v>
      </c>
      <c r="E35" s="466">
        <f>(Backup!F166/10^7)-'F3.4'!E11</f>
        <v>0</v>
      </c>
      <c r="F35" s="466">
        <f>(Backup!G166/10^7)-'F3.4'!F11</f>
        <v>0</v>
      </c>
      <c r="G35" s="466">
        <f>(Backup!H166/10^7)-'F3.4'!G11</f>
        <v>0</v>
      </c>
      <c r="H35" s="466">
        <f t="shared" ref="H35:H49" si="3">G35+F35</f>
        <v>0</v>
      </c>
    </row>
    <row r="36" spans="2:8">
      <c r="B36" s="29">
        <v>2</v>
      </c>
      <c r="C36" s="641" t="s">
        <v>888</v>
      </c>
      <c r="D36" s="466">
        <f>(Backup!E167/10^7)-'F3.4'!D12</f>
        <v>0</v>
      </c>
      <c r="E36" s="466">
        <f>(Backup!F167/10^7)-'F3.4'!E12</f>
        <v>6.1872999999999984E-4</v>
      </c>
      <c r="F36" s="466">
        <f>(Backup!G167/10^7)-'F3.4'!F12</f>
        <v>0</v>
      </c>
      <c r="G36" s="466">
        <f>(Backup!H167/10^7)-'F3.4'!G12</f>
        <v>0</v>
      </c>
      <c r="H36" s="466">
        <f t="shared" si="3"/>
        <v>0</v>
      </c>
    </row>
    <row r="37" spans="2:8">
      <c r="B37" s="29">
        <v>3</v>
      </c>
      <c r="C37" s="641" t="s">
        <v>889</v>
      </c>
      <c r="D37" s="466">
        <f>(Backup!E168/10^7)-'F3.4'!D13</f>
        <v>3.8218249999999995E-2</v>
      </c>
      <c r="E37" s="466">
        <f>(Backup!F168/10^7)-'F3.4'!E13</f>
        <v>4.5850000000000002E-2</v>
      </c>
      <c r="F37" s="466">
        <f>(Backup!G168/10^7)-'F3.4'!F13</f>
        <v>6.6499999999999997E-3</v>
      </c>
      <c r="G37" s="466">
        <f>(Backup!H168/10^7)-'F3.4'!G13</f>
        <v>3.9199999999999999E-2</v>
      </c>
      <c r="H37" s="466">
        <f t="shared" si="3"/>
        <v>4.5850000000000002E-2</v>
      </c>
    </row>
    <row r="38" spans="2:8">
      <c r="B38" s="29">
        <v>4</v>
      </c>
      <c r="C38" s="641" t="s">
        <v>890</v>
      </c>
      <c r="D38" s="466">
        <f>(Backup!E169/10^7)-'F3.4'!D14</f>
        <v>8.0381000000000007E-4</v>
      </c>
      <c r="E38" s="466">
        <f>(Backup!F169/10^7)-'F3.4'!E14</f>
        <v>6.3949200000000001E-3</v>
      </c>
      <c r="F38" s="466">
        <f>(Backup!G169/10^7)-'F3.4'!F14</f>
        <v>8.4514849999999982E-3</v>
      </c>
      <c r="G38" s="466">
        <f>(Backup!H169/10^7)-'F3.4'!G14</f>
        <v>8.4514849999999982E-3</v>
      </c>
      <c r="H38" s="466">
        <f t="shared" si="3"/>
        <v>1.6902969999999996E-2</v>
      </c>
    </row>
    <row r="39" spans="2:8">
      <c r="B39" s="29">
        <v>5</v>
      </c>
      <c r="C39" s="641" t="s">
        <v>891</v>
      </c>
      <c r="D39" s="466">
        <f>(Backup!E170/10^7)-'F3.4'!D15</f>
        <v>5.1852849999999995E-3</v>
      </c>
      <c r="E39" s="466">
        <f>(Backup!F170/10^7)-'F3.4'!E15</f>
        <v>1.5321950000000001E-3</v>
      </c>
      <c r="F39" s="466">
        <f>(Backup!G170/10^7)-'F3.4'!F15</f>
        <v>7.0853999999999991E-4</v>
      </c>
      <c r="G39" s="466">
        <f>(Backup!H170/10^7)-'F3.4'!G15</f>
        <v>7.0853999999999991E-4</v>
      </c>
      <c r="H39" s="466">
        <f t="shared" si="3"/>
        <v>1.4170799999999998E-3</v>
      </c>
    </row>
    <row r="40" spans="2:8">
      <c r="B40" s="29">
        <v>6</v>
      </c>
      <c r="C40" s="641" t="s">
        <v>892</v>
      </c>
      <c r="D40" s="466">
        <f>(Backup!E171/10^7)-'F3.4'!D16</f>
        <v>0</v>
      </c>
      <c r="E40" s="466">
        <f>(Backup!F171/10^7)-'F3.4'!E16</f>
        <v>0</v>
      </c>
      <c r="F40" s="466">
        <f>(Backup!G171/10^7)-'F3.4'!F16</f>
        <v>0</v>
      </c>
      <c r="G40" s="466">
        <f>(Backup!H171/10^7)-'F3.4'!G16</f>
        <v>0</v>
      </c>
      <c r="H40" s="466">
        <f t="shared" si="3"/>
        <v>0</v>
      </c>
    </row>
    <row r="41" spans="2:8">
      <c r="B41" s="29">
        <v>7</v>
      </c>
      <c r="C41" s="641" t="s">
        <v>893</v>
      </c>
      <c r="D41" s="466">
        <f>(Backup!E172/10^7)-'F3.4'!D17</f>
        <v>5.9797500000000003E-2</v>
      </c>
      <c r="E41" s="466">
        <f>(Backup!F172/10^7)-'F3.4'!E17</f>
        <v>1.5581999999999999E-2</v>
      </c>
      <c r="F41" s="466">
        <f>(Backup!G172/10^7)-'F3.4'!F17</f>
        <v>1.0955699999999999E-2</v>
      </c>
      <c r="G41" s="466">
        <f>(Backup!H172/10^7)-'F3.4'!G17</f>
        <v>1.0955699999999999E-2</v>
      </c>
      <c r="H41" s="466">
        <f t="shared" si="3"/>
        <v>2.1911399999999998E-2</v>
      </c>
    </row>
    <row r="42" spans="2:8">
      <c r="B42" s="29">
        <v>8</v>
      </c>
      <c r="C42" s="641" t="s">
        <v>103</v>
      </c>
      <c r="D42" s="466">
        <f>(Backup!E173/10^7)-'F3.4'!D18</f>
        <v>8.1204550000000004E-3</v>
      </c>
      <c r="E42" s="466">
        <f>(Backup!F173/10^7)-'F3.4'!E18</f>
        <v>1.0173729999999999E-2</v>
      </c>
      <c r="F42" s="466">
        <f>(Backup!G173/10^7)-'F3.4'!F18</f>
        <v>0</v>
      </c>
      <c r="G42" s="466">
        <f>(Backup!H173/10^7)-'F3.4'!G18</f>
        <v>0</v>
      </c>
      <c r="H42" s="466">
        <f t="shared" si="3"/>
        <v>0</v>
      </c>
    </row>
    <row r="43" spans="2:8">
      <c r="B43" s="29">
        <v>9</v>
      </c>
      <c r="C43" s="641" t="s">
        <v>894</v>
      </c>
      <c r="D43" s="466">
        <f>(Backup!E174/10^7)-'F3.4'!D19</f>
        <v>3.2060000000000001E-5</v>
      </c>
      <c r="E43" s="466">
        <f>(Backup!F174/10^7)-'F3.4'!E19</f>
        <v>9.2644999999999978E-5</v>
      </c>
      <c r="F43" s="466">
        <f>(Backup!G174/10^7)-'F3.4'!F19</f>
        <v>4.5219999999999991E-5</v>
      </c>
      <c r="G43" s="466">
        <f>(Backup!H174/10^7)-'F3.4'!G19</f>
        <v>4.5219999999999991E-5</v>
      </c>
      <c r="H43" s="466">
        <f t="shared" si="3"/>
        <v>9.0439999999999981E-5</v>
      </c>
    </row>
    <row r="44" spans="2:8">
      <c r="B44" s="29">
        <v>10</v>
      </c>
      <c r="C44" s="641" t="s">
        <v>895</v>
      </c>
      <c r="D44" s="466">
        <f>(Backup!E175/10^7)-'F3.4'!D20</f>
        <v>0</v>
      </c>
      <c r="E44" s="466">
        <f>(Backup!F175/10^7)-'F3.4'!E20</f>
        <v>0</v>
      </c>
      <c r="F44" s="466">
        <f>(Backup!G175/10^7)-'F3.4'!F20</f>
        <v>0</v>
      </c>
      <c r="G44" s="466">
        <f>(Backup!H175/10^7)-'F3.4'!G20</f>
        <v>0</v>
      </c>
      <c r="H44" s="466">
        <f t="shared" si="3"/>
        <v>0</v>
      </c>
    </row>
    <row r="45" spans="2:8">
      <c r="B45" s="29">
        <v>11</v>
      </c>
      <c r="C45" s="641" t="s">
        <v>896</v>
      </c>
      <c r="D45" s="466">
        <f>(Backup!E176/10^7)-'F3.4'!D21</f>
        <v>5.6306599999999991E-3</v>
      </c>
      <c r="E45" s="466">
        <f>(Backup!F176/10^7)-'F3.4'!E21</f>
        <v>2.305695E-3</v>
      </c>
      <c r="F45" s="466">
        <f>(Backup!G176/10^7)-'F3.4'!F21</f>
        <v>2.4922099999999999E-3</v>
      </c>
      <c r="G45" s="466">
        <f>(Backup!H176/10^7)-'F3.4'!G21</f>
        <v>2.4922099999999999E-3</v>
      </c>
      <c r="H45" s="466">
        <f t="shared" si="3"/>
        <v>4.9844199999999998E-3</v>
      </c>
    </row>
    <row r="46" spans="2:8">
      <c r="B46" s="29">
        <v>12</v>
      </c>
      <c r="C46" s="641" t="s">
        <v>897</v>
      </c>
      <c r="D46" s="466">
        <f>(Backup!E177/10^7)-'F3.4'!D22</f>
        <v>0</v>
      </c>
      <c r="E46" s="466">
        <f>(Backup!F177/10^7)-'F3.4'!E22</f>
        <v>0</v>
      </c>
      <c r="F46" s="466">
        <f>(Backup!G177/10^7)-'F3.4'!F22</f>
        <v>0</v>
      </c>
      <c r="G46" s="466">
        <f>(Backup!H177/10^7)-'F3.4'!G22</f>
        <v>0</v>
      </c>
      <c r="H46" s="466">
        <f t="shared" si="3"/>
        <v>0</v>
      </c>
    </row>
    <row r="47" spans="2:8">
      <c r="B47" s="29">
        <v>13</v>
      </c>
      <c r="C47" s="641" t="s">
        <v>898</v>
      </c>
      <c r="D47" s="466">
        <f>(Backup!E178/10^7)-'F3.4'!D23</f>
        <v>0</v>
      </c>
      <c r="E47" s="466">
        <f>(Backup!F178/10^7)-'F3.4'!E23</f>
        <v>0</v>
      </c>
      <c r="F47" s="466">
        <f>(Backup!G178/10^7)-'F3.4'!F23</f>
        <v>0</v>
      </c>
      <c r="G47" s="466">
        <f>(Backup!H178/10^7)-'F3.4'!G23</f>
        <v>0</v>
      </c>
      <c r="H47" s="466">
        <f t="shared" si="3"/>
        <v>0</v>
      </c>
    </row>
    <row r="48" spans="2:8">
      <c r="B48" s="29">
        <v>14</v>
      </c>
      <c r="C48" s="641" t="s">
        <v>899</v>
      </c>
      <c r="D48" s="466">
        <f>(Backup!E179/10^7)-'F3.4'!D24</f>
        <v>6.7336955000000004E-2</v>
      </c>
      <c r="E48" s="466">
        <f>(Backup!F179/10^7)-'F3.4'!E24</f>
        <v>2.2153949999999999E-2</v>
      </c>
      <c r="F48" s="466">
        <f>(Backup!G179/10^7)-'F3.4'!F24</f>
        <v>2.5182499999999997E-3</v>
      </c>
      <c r="G48" s="466">
        <f>(Backup!H179/10^7)-'F3.4'!G24</f>
        <v>2.5182499999999997E-3</v>
      </c>
      <c r="H48" s="466">
        <f t="shared" si="3"/>
        <v>5.0364999999999993E-3</v>
      </c>
    </row>
    <row r="49" spans="2:8">
      <c r="B49" s="29">
        <v>15</v>
      </c>
      <c r="C49" s="642" t="s">
        <v>900</v>
      </c>
      <c r="D49" s="466">
        <f>(Backup!E180/10^7)-'F3.4'!D25</f>
        <v>3.7957499999999994E-4</v>
      </c>
      <c r="E49" s="466">
        <f>(Backup!F180/10^7)-'F3.4'!E25</f>
        <v>0</v>
      </c>
      <c r="F49" s="466">
        <f>(Backup!G180/10^7)-'F3.4'!F25</f>
        <v>0</v>
      </c>
      <c r="G49" s="466">
        <f>(Backup!H180/10^7)-'F3.4'!G25</f>
        <v>0</v>
      </c>
      <c r="H49" s="466">
        <f t="shared" si="3"/>
        <v>0</v>
      </c>
    </row>
    <row r="50" spans="2:8">
      <c r="B50" s="29">
        <v>29</v>
      </c>
      <c r="C50" s="30" t="s">
        <v>104</v>
      </c>
      <c r="D50" s="558">
        <f>SUM(D35:D49)</f>
        <v>0.18550454999999999</v>
      </c>
      <c r="E50" s="558">
        <f t="shared" ref="E50" si="4">SUM(E35:E49)</f>
        <v>0.10470386500000001</v>
      </c>
      <c r="F50" s="558">
        <f t="shared" ref="F50" si="5">SUM(F35:F49)</f>
        <v>3.1821404999999997E-2</v>
      </c>
      <c r="G50" s="558">
        <f t="shared" ref="G50" si="6">SUM(G35:G49)</f>
        <v>6.4371404999999993E-2</v>
      </c>
      <c r="H50" s="558">
        <f t="shared" ref="H50" si="7">SUM(H35:H49)</f>
        <v>9.619280999999999E-2</v>
      </c>
    </row>
    <row r="51" spans="2:8">
      <c r="B51" s="29">
        <v>30</v>
      </c>
      <c r="C51" s="14" t="s">
        <v>48</v>
      </c>
      <c r="D51" s="466">
        <v>0</v>
      </c>
      <c r="E51" s="466">
        <v>0</v>
      </c>
      <c r="F51" s="466">
        <v>0</v>
      </c>
      <c r="G51" s="466">
        <v>0</v>
      </c>
      <c r="H51" s="466">
        <v>0</v>
      </c>
    </row>
    <row r="52" spans="2:8">
      <c r="B52" s="29">
        <v>31</v>
      </c>
      <c r="C52" s="32" t="s">
        <v>105</v>
      </c>
      <c r="D52" s="558">
        <f>D50-D51</f>
        <v>0.18550454999999999</v>
      </c>
      <c r="E52" s="558">
        <f t="shared" ref="E52" si="8">E50-E51</f>
        <v>0.10470386500000001</v>
      </c>
      <c r="F52" s="558">
        <f t="shared" ref="F52" si="9">F50-F51</f>
        <v>3.1821404999999997E-2</v>
      </c>
      <c r="G52" s="558">
        <f t="shared" ref="G52" si="10">G50-G51</f>
        <v>6.4371404999999993E-2</v>
      </c>
      <c r="H52" s="558">
        <f t="shared" ref="H52" si="11">H50-H51</f>
        <v>9.619280999999999E-2</v>
      </c>
    </row>
  </sheetData>
  <mergeCells count="6">
    <mergeCell ref="F9:H9"/>
    <mergeCell ref="B33:B34"/>
    <mergeCell ref="C33:C34"/>
    <mergeCell ref="F33:H33"/>
    <mergeCell ref="B9:B10"/>
    <mergeCell ref="C9:C10"/>
  </mergeCells>
  <pageMargins left="0.74803149606299213" right="0.74803149606299213" top="0.98425196850393704" bottom="0.98425196850393704" header="0.51181102362204722" footer="0.51181102362204722"/>
  <pageSetup paperSize="9" scale="89" fitToHeight="0" orientation="landscape" r:id="rId1"/>
  <headerFooter alignWithMargins="0"/>
  <rowBreaks count="1" manualBreakCount="1">
    <brk id="28" min="1" max="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pageSetUpPr fitToPage="1"/>
  </sheetPr>
  <dimension ref="B2:H30"/>
  <sheetViews>
    <sheetView showGridLines="0" view="pageBreakPreview" topLeftCell="A2" zoomScale="60" zoomScaleNormal="80" workbookViewId="0">
      <selection activeCell="C11" sqref="C11:C12"/>
    </sheetView>
  </sheetViews>
  <sheetFormatPr defaultColWidth="9.140625" defaultRowHeight="15"/>
  <cols>
    <col min="1" max="1" width="6.85546875" style="18" customWidth="1"/>
    <col min="2" max="2" width="6.140625" style="91" customWidth="1"/>
    <col min="3" max="3" width="35.7109375" style="18" customWidth="1"/>
    <col min="4" max="4" width="20.85546875" style="18" customWidth="1"/>
    <col min="5" max="7" width="15.7109375" style="18" customWidth="1"/>
    <col min="8" max="8" width="20.7109375" style="18" customWidth="1"/>
    <col min="9" max="16384" width="9.140625" style="18"/>
  </cols>
  <sheetData>
    <row r="2" spans="2:8">
      <c r="C2" s="101"/>
      <c r="E2" s="375" t="s">
        <v>906</v>
      </c>
      <c r="F2" s="101"/>
      <c r="G2" s="101"/>
      <c r="H2" s="101"/>
    </row>
    <row r="3" spans="2:8" s="7" customFormat="1">
      <c r="C3" s="101"/>
      <c r="E3" s="373" t="s">
        <v>724</v>
      </c>
      <c r="F3" s="101"/>
      <c r="G3" s="101"/>
      <c r="H3" s="101"/>
    </row>
    <row r="4" spans="2:8" s="7" customFormat="1">
      <c r="C4" s="101"/>
      <c r="E4" s="277" t="s">
        <v>314</v>
      </c>
      <c r="F4" s="101"/>
      <c r="G4" s="101"/>
      <c r="H4" s="101"/>
    </row>
    <row r="5" spans="2:8" s="155" customFormat="1">
      <c r="B5" s="54"/>
      <c r="C5" s="101"/>
      <c r="D5" s="101"/>
      <c r="E5" s="101"/>
      <c r="F5" s="101"/>
      <c r="G5" s="101"/>
      <c r="H5" s="101"/>
    </row>
    <row r="6" spans="2:8" s="155" customFormat="1">
      <c r="B6" s="54"/>
      <c r="C6" s="101"/>
      <c r="D6" s="101"/>
      <c r="E6" s="101"/>
      <c r="F6" s="101"/>
      <c r="G6" s="101"/>
      <c r="H6" s="101"/>
    </row>
    <row r="7" spans="2:8" s="155" customFormat="1">
      <c r="B7" s="54"/>
      <c r="C7" s="101"/>
      <c r="D7" s="101"/>
      <c r="E7" s="101"/>
      <c r="F7" s="101"/>
      <c r="G7" s="101"/>
      <c r="H7" s="101"/>
    </row>
    <row r="8" spans="2:8">
      <c r="B8" s="165" t="s">
        <v>256</v>
      </c>
    </row>
    <row r="9" spans="2:8">
      <c r="B9" s="18"/>
      <c r="H9" s="26" t="s">
        <v>16</v>
      </c>
    </row>
    <row r="10" spans="2:8">
      <c r="B10" s="1428" t="s">
        <v>11</v>
      </c>
      <c r="C10" s="1428" t="s">
        <v>49</v>
      </c>
      <c r="D10" s="356" t="s">
        <v>38</v>
      </c>
      <c r="E10" s="356" t="s">
        <v>146</v>
      </c>
      <c r="F10" s="1380" t="s">
        <v>147</v>
      </c>
      <c r="G10" s="1381"/>
      <c r="H10" s="1381"/>
    </row>
    <row r="11" spans="2:8" ht="28.5">
      <c r="B11" s="1429"/>
      <c r="C11" s="1429"/>
      <c r="D11" s="356" t="s">
        <v>282</v>
      </c>
      <c r="E11" s="356" t="s">
        <v>422</v>
      </c>
      <c r="F11" s="356" t="s">
        <v>416</v>
      </c>
      <c r="G11" s="356" t="s">
        <v>335</v>
      </c>
      <c r="H11" s="356" t="s">
        <v>71</v>
      </c>
    </row>
    <row r="12" spans="2:8">
      <c r="B12" s="92">
        <v>1</v>
      </c>
      <c r="C12" s="31" t="s">
        <v>107</v>
      </c>
      <c r="D12" s="466">
        <f>(Backup!E161/10^7)*ASSUM!C$13</f>
        <v>0.223244515</v>
      </c>
      <c r="E12" s="466">
        <f>(Backup!F161/10^7)*ASSUM!D$13</f>
        <v>0.14572616500000002</v>
      </c>
      <c r="F12" s="466">
        <f>(Backup!G161/10^7)*ASSUM!E$13</f>
        <v>9.7056700000000013E-3</v>
      </c>
      <c r="G12" s="466">
        <f>(Backup!H161/10^7)*ASSUM!F$13</f>
        <v>9.7056700000000013E-3</v>
      </c>
      <c r="H12" s="643">
        <f>F12+G12</f>
        <v>1.9411340000000003E-2</v>
      </c>
    </row>
    <row r="13" spans="2:8">
      <c r="B13" s="92">
        <v>2</v>
      </c>
      <c r="C13" s="31" t="s">
        <v>106</v>
      </c>
      <c r="D13" s="466">
        <f>(Backup!E162/10^7)*ASSUM!C$13</f>
        <v>0.77576668000000004</v>
      </c>
      <c r="E13" s="466">
        <f>(Backup!F162/10^7)*ASSUM!D$13</f>
        <v>0.93051107499999997</v>
      </c>
      <c r="F13" s="466">
        <f>(Backup!G162/10^7)*ASSUM!E$13</f>
        <v>0.48455862</v>
      </c>
      <c r="G13" s="466">
        <f>(Backup!H162/10^7)*ASSUM!F$13</f>
        <v>0.48455862</v>
      </c>
      <c r="H13" s="643">
        <f>F13+G13</f>
        <v>0.96911723999999999</v>
      </c>
    </row>
    <row r="14" spans="2:8">
      <c r="B14" s="92">
        <v>3</v>
      </c>
      <c r="C14" s="31" t="s">
        <v>952</v>
      </c>
      <c r="D14" s="466">
        <f>(Backup!E163/10^7)*ASSUM!C$13</f>
        <v>8.4591000000000006E-4</v>
      </c>
      <c r="E14" s="466">
        <f>(Backup!F163/10^7)*ASSUM!D$13</f>
        <v>0</v>
      </c>
      <c r="F14" s="466">
        <f>(Backup!G163/10^7)*ASSUM!E$13</f>
        <v>0</v>
      </c>
      <c r="G14" s="466">
        <f>(Backup!H163/10^7)*ASSUM!F$13</f>
        <v>0</v>
      </c>
      <c r="H14" s="643">
        <f>F14+G14</f>
        <v>0</v>
      </c>
    </row>
    <row r="15" spans="2:8">
      <c r="B15" s="92">
        <v>4</v>
      </c>
      <c r="C15" s="30" t="s">
        <v>108</v>
      </c>
      <c r="D15" s="558">
        <f>SUM(D12:D14)</f>
        <v>0.99985710500000002</v>
      </c>
      <c r="E15" s="558">
        <f t="shared" ref="E15:H15" si="0">SUM(E12:E14)</f>
        <v>1.07623724</v>
      </c>
      <c r="F15" s="558">
        <f t="shared" si="0"/>
        <v>0.49426429</v>
      </c>
      <c r="G15" s="558">
        <f t="shared" si="0"/>
        <v>0.49426429</v>
      </c>
      <c r="H15" s="558">
        <f t="shared" si="0"/>
        <v>0.98852857999999999</v>
      </c>
    </row>
    <row r="16" spans="2:8">
      <c r="B16" s="92">
        <v>5</v>
      </c>
      <c r="C16" s="152" t="s">
        <v>315</v>
      </c>
      <c r="D16" s="466">
        <v>0</v>
      </c>
      <c r="E16" s="466">
        <v>0</v>
      </c>
      <c r="F16" s="466">
        <v>0</v>
      </c>
      <c r="G16" s="466">
        <v>0</v>
      </c>
      <c r="H16" s="466">
        <v>0</v>
      </c>
    </row>
    <row r="17" spans="2:8">
      <c r="B17" s="92">
        <v>6</v>
      </c>
      <c r="C17" s="30" t="s">
        <v>316</v>
      </c>
      <c r="D17" s="558">
        <f>D15-D16</f>
        <v>0.99985710500000002</v>
      </c>
      <c r="E17" s="558">
        <f t="shared" ref="E17:H17" si="1">E15-E16</f>
        <v>1.07623724</v>
      </c>
      <c r="F17" s="558">
        <f t="shared" si="1"/>
        <v>0.49426429</v>
      </c>
      <c r="G17" s="558">
        <f t="shared" si="1"/>
        <v>0.49426429</v>
      </c>
      <c r="H17" s="558">
        <f t="shared" si="1"/>
        <v>0.98852857999999999</v>
      </c>
    </row>
    <row r="18" spans="2:8">
      <c r="B18" s="18"/>
      <c r="C18" s="213"/>
      <c r="D18" s="170"/>
      <c r="E18" s="170"/>
      <c r="F18" s="170"/>
      <c r="G18" s="170"/>
      <c r="H18" s="170"/>
    </row>
    <row r="20" spans="2:8">
      <c r="B20" s="165" t="s">
        <v>257</v>
      </c>
    </row>
    <row r="21" spans="2:8">
      <c r="B21" s="18"/>
      <c r="H21" s="26" t="s">
        <v>16</v>
      </c>
    </row>
    <row r="22" spans="2:8">
      <c r="B22" s="1428" t="s">
        <v>11</v>
      </c>
      <c r="C22" s="1428" t="s">
        <v>49</v>
      </c>
      <c r="D22" s="356" t="s">
        <v>38</v>
      </c>
      <c r="E22" s="356" t="s">
        <v>146</v>
      </c>
      <c r="F22" s="1380" t="s">
        <v>147</v>
      </c>
      <c r="G22" s="1381"/>
      <c r="H22" s="1381"/>
    </row>
    <row r="23" spans="2:8" ht="28.5">
      <c r="B23" s="1429"/>
      <c r="C23" s="1429"/>
      <c r="D23" s="356" t="s">
        <v>282</v>
      </c>
      <c r="E23" s="356" t="s">
        <v>422</v>
      </c>
      <c r="F23" s="356" t="s">
        <v>416</v>
      </c>
      <c r="G23" s="356" t="s">
        <v>335</v>
      </c>
      <c r="H23" s="356" t="s">
        <v>71</v>
      </c>
    </row>
    <row r="24" spans="2:8">
      <c r="B24" s="92">
        <v>1</v>
      </c>
      <c r="C24" s="31" t="s">
        <v>107</v>
      </c>
      <c r="D24" s="466">
        <f>(Backup!E161/10^7)-'F3.5'!D12</f>
        <v>0.12020858500000001</v>
      </c>
      <c r="E24" s="466">
        <f>(Backup!F161/10^7)-'F3.5'!E12</f>
        <v>7.8467934999999989E-2</v>
      </c>
      <c r="F24" s="466">
        <f>(Backup!G161/10^7)-'F3.5'!F12</f>
        <v>5.226129999999999E-3</v>
      </c>
      <c r="G24" s="466">
        <f>(Backup!H161/10^7)-'F3.5'!G12</f>
        <v>5.226129999999999E-3</v>
      </c>
      <c r="H24" s="643">
        <f>F24+G24</f>
        <v>1.0452259999999998E-2</v>
      </c>
    </row>
    <row r="25" spans="2:8">
      <c r="B25" s="92">
        <f>B24+1</f>
        <v>2</v>
      </c>
      <c r="C25" s="31" t="s">
        <v>106</v>
      </c>
      <c r="D25" s="466">
        <f>(Backup!E162/10^7)-'F3.5'!D13</f>
        <v>0.41772052000000004</v>
      </c>
      <c r="E25" s="466">
        <f>(Backup!F162/10^7)-'F3.5'!E13</f>
        <v>0.50104442500000002</v>
      </c>
      <c r="F25" s="466">
        <f>(Backup!G162/10^7)-'F3.5'!F13</f>
        <v>0.26091618</v>
      </c>
      <c r="G25" s="466">
        <f>(Backup!H162/10^7)-'F3.5'!G13</f>
        <v>0.26091618</v>
      </c>
      <c r="H25" s="643">
        <f>F25+G25</f>
        <v>0.52183236</v>
      </c>
    </row>
    <row r="26" spans="2:8">
      <c r="B26" s="92">
        <f t="shared" ref="B26:B29" si="2">B25+1</f>
        <v>3</v>
      </c>
      <c r="C26" s="31" t="s">
        <v>952</v>
      </c>
      <c r="D26" s="466">
        <f>(Backup!E163/10^7)-'F3.5'!D14</f>
        <v>4.5549000000000002E-4</v>
      </c>
      <c r="E26" s="466">
        <f>(Backup!F163/10^7)-'F3.5'!E14</f>
        <v>0</v>
      </c>
      <c r="F26" s="466">
        <f>(Backup!G163/10^7)-'F3.5'!F14</f>
        <v>0</v>
      </c>
      <c r="G26" s="466">
        <f>(Backup!H163/10^7)-'F3.5'!G14</f>
        <v>0</v>
      </c>
      <c r="H26" s="643">
        <f>F26+G26</f>
        <v>0</v>
      </c>
    </row>
    <row r="27" spans="2:8">
      <c r="B27" s="92">
        <f t="shared" si="2"/>
        <v>4</v>
      </c>
      <c r="C27" s="30" t="s">
        <v>108</v>
      </c>
      <c r="D27" s="558">
        <f>SUM(D24:D26)</f>
        <v>0.53838459500000002</v>
      </c>
      <c r="E27" s="558">
        <f t="shared" ref="E27" si="3">SUM(E24:E26)</f>
        <v>0.57951236000000006</v>
      </c>
      <c r="F27" s="558">
        <f t="shared" ref="F27" si="4">SUM(F24:F26)</f>
        <v>0.26614230999999999</v>
      </c>
      <c r="G27" s="558">
        <f t="shared" ref="G27" si="5">SUM(G24:G26)</f>
        <v>0.26614230999999999</v>
      </c>
      <c r="H27" s="558">
        <f t="shared" ref="H27" si="6">SUM(H24:H26)</f>
        <v>0.53228461999999999</v>
      </c>
    </row>
    <row r="28" spans="2:8">
      <c r="B28" s="92">
        <f t="shared" si="2"/>
        <v>5</v>
      </c>
      <c r="C28" s="152" t="s">
        <v>315</v>
      </c>
      <c r="D28" s="466">
        <v>0</v>
      </c>
      <c r="E28" s="466">
        <v>0</v>
      </c>
      <c r="F28" s="466">
        <v>0</v>
      </c>
      <c r="G28" s="466">
        <v>0</v>
      </c>
      <c r="H28" s="466">
        <v>0</v>
      </c>
    </row>
    <row r="29" spans="2:8">
      <c r="B29" s="92">
        <f t="shared" si="2"/>
        <v>6</v>
      </c>
      <c r="C29" s="30" t="s">
        <v>316</v>
      </c>
      <c r="D29" s="558">
        <f>D27-D28</f>
        <v>0.53838459500000002</v>
      </c>
      <c r="E29" s="558">
        <f t="shared" ref="E29" si="7">E27-E28</f>
        <v>0.57951236000000006</v>
      </c>
      <c r="F29" s="558">
        <f t="shared" ref="F29" si="8">F27-F28</f>
        <v>0.26614230999999999</v>
      </c>
      <c r="G29" s="558">
        <f t="shared" ref="G29" si="9">G27-G28</f>
        <v>0.26614230999999999</v>
      </c>
      <c r="H29" s="558">
        <f t="shared" ref="H29" si="10">H27-H28</f>
        <v>0.53228461999999999</v>
      </c>
    </row>
    <row r="30" spans="2:8">
      <c r="B30" s="18"/>
    </row>
  </sheetData>
  <mergeCells count="6">
    <mergeCell ref="B22:B23"/>
    <mergeCell ref="C22:C23"/>
    <mergeCell ref="F22:H22"/>
    <mergeCell ref="B10:B11"/>
    <mergeCell ref="C10:C11"/>
    <mergeCell ref="F10:H10"/>
  </mergeCells>
  <pageMargins left="0.75" right="0.75" top="1" bottom="1" header="0.5" footer="0.5"/>
  <pageSetup paperSize="9" scale="96"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pageSetUpPr fitToPage="1"/>
  </sheetPr>
  <dimension ref="A1:S41"/>
  <sheetViews>
    <sheetView showGridLines="0" view="pageBreakPreview" topLeftCell="C1" zoomScale="60" zoomScaleNormal="60" workbookViewId="0">
      <selection activeCell="C11" sqref="C11:C12"/>
    </sheetView>
  </sheetViews>
  <sheetFormatPr defaultColWidth="9.140625" defaultRowHeight="15"/>
  <cols>
    <col min="1" max="1" width="4.140625" style="155" customWidth="1"/>
    <col min="2" max="2" width="6.28515625" style="155" customWidth="1"/>
    <col min="3" max="3" width="30.42578125" style="155" customWidth="1"/>
    <col min="4" max="4" width="15.7109375" style="155" customWidth="1"/>
    <col min="5" max="6" width="19.28515625" style="155" customWidth="1"/>
    <col min="7" max="7" width="13.28515625" style="155" customWidth="1"/>
    <col min="8" max="8" width="19.28515625" style="155" customWidth="1"/>
    <col min="9" max="9" width="19" style="155" customWidth="1"/>
    <col min="10" max="10" width="13.28515625" style="155" customWidth="1"/>
    <col min="11" max="11" width="16.5703125" style="155" customWidth="1"/>
    <col min="12" max="12" width="16.28515625" style="155" customWidth="1"/>
    <col min="13" max="13" width="20.5703125" style="155" customWidth="1"/>
    <col min="14" max="14" width="17.7109375" style="155" customWidth="1"/>
    <col min="15" max="15" width="12.7109375" style="155" customWidth="1"/>
    <col min="16" max="16" width="16.7109375" style="155" customWidth="1"/>
    <col min="17" max="17" width="11.85546875" style="155" customWidth="1"/>
    <col min="18" max="19" width="17.140625" style="155" customWidth="1"/>
    <col min="20" max="16384" width="9.140625" style="155"/>
  </cols>
  <sheetData>
    <row r="1" spans="1:19">
      <c r="B1" s="46"/>
    </row>
    <row r="2" spans="1:19">
      <c r="C2" s="101"/>
      <c r="D2" s="101"/>
      <c r="E2" s="101"/>
      <c r="F2" s="101"/>
      <c r="H2" s="101"/>
      <c r="I2" s="742" t="s">
        <v>906</v>
      </c>
      <c r="J2" s="101"/>
      <c r="K2" s="101"/>
      <c r="L2" s="101"/>
      <c r="M2" s="101"/>
    </row>
    <row r="3" spans="1:19">
      <c r="C3" s="54"/>
      <c r="D3" s="54"/>
      <c r="E3" s="54"/>
      <c r="F3" s="54"/>
      <c r="H3" s="54"/>
      <c r="I3" s="388" t="s">
        <v>724</v>
      </c>
      <c r="J3" s="54"/>
      <c r="K3" s="54"/>
      <c r="L3" s="54"/>
      <c r="M3" s="54"/>
    </row>
    <row r="4" spans="1:19">
      <c r="C4" s="101"/>
      <c r="D4" s="101"/>
      <c r="E4" s="101"/>
      <c r="F4" s="101"/>
      <c r="H4" s="101"/>
      <c r="I4" s="388" t="s">
        <v>570</v>
      </c>
      <c r="J4" s="101"/>
      <c r="K4" s="101"/>
      <c r="L4" s="101"/>
      <c r="M4" s="101"/>
    </row>
    <row r="5" spans="1:19">
      <c r="B5" s="317"/>
      <c r="C5" s="313"/>
      <c r="D5" s="313"/>
      <c r="E5" s="313"/>
      <c r="F5" s="362"/>
      <c r="G5" s="362"/>
      <c r="H5" s="362"/>
      <c r="I5" s="313"/>
      <c r="J5" s="313"/>
      <c r="K5" s="313"/>
      <c r="L5" s="313"/>
      <c r="M5" s="313"/>
    </row>
    <row r="6" spans="1:19">
      <c r="B6" s="165" t="s">
        <v>256</v>
      </c>
      <c r="C6" s="52"/>
      <c r="D6" s="52"/>
      <c r="E6" s="52"/>
      <c r="F6" s="52"/>
      <c r="G6" s="52"/>
      <c r="H6" s="52"/>
      <c r="I6" s="52"/>
      <c r="J6" s="52"/>
      <c r="K6" s="52"/>
      <c r="L6" s="52"/>
    </row>
    <row r="7" spans="1:19">
      <c r="S7" s="26" t="s">
        <v>16</v>
      </c>
    </row>
    <row r="8" spans="1:19" s="1086" customFormat="1" ht="12.75" customHeight="1">
      <c r="B8" s="1355" t="s">
        <v>157</v>
      </c>
      <c r="C8" s="1363" t="s">
        <v>49</v>
      </c>
      <c r="D8" s="1360" t="s">
        <v>38</v>
      </c>
      <c r="E8" s="1361"/>
      <c r="F8" s="1362"/>
      <c r="G8" s="1360" t="s">
        <v>146</v>
      </c>
      <c r="H8" s="1361"/>
      <c r="I8" s="1362"/>
      <c r="J8" s="1360" t="s">
        <v>147</v>
      </c>
      <c r="K8" s="1361"/>
      <c r="L8" s="1361"/>
      <c r="M8" s="1361"/>
      <c r="N8" s="1362"/>
      <c r="O8" s="1360" t="s">
        <v>148</v>
      </c>
      <c r="P8" s="1362"/>
      <c r="Q8" s="1363" t="s">
        <v>149</v>
      </c>
      <c r="R8" s="1363"/>
      <c r="S8" s="1363" t="s">
        <v>42</v>
      </c>
    </row>
    <row r="9" spans="1:19" s="1086" customFormat="1" ht="45.6" customHeight="1">
      <c r="B9" s="1356"/>
      <c r="C9" s="1363"/>
      <c r="D9" s="1068" t="s">
        <v>413</v>
      </c>
      <c r="E9" s="1068" t="s">
        <v>414</v>
      </c>
      <c r="F9" s="1068" t="s">
        <v>415</v>
      </c>
      <c r="G9" s="1068" t="s">
        <v>413</v>
      </c>
      <c r="H9" s="1068" t="s">
        <v>414</v>
      </c>
      <c r="I9" s="1068" t="s">
        <v>415</v>
      </c>
      <c r="J9" s="1068" t="s">
        <v>413</v>
      </c>
      <c r="K9" s="1068" t="s">
        <v>416</v>
      </c>
      <c r="L9" s="1068" t="s">
        <v>335</v>
      </c>
      <c r="M9" s="1068" t="s">
        <v>71</v>
      </c>
      <c r="N9" s="1068" t="s">
        <v>417</v>
      </c>
      <c r="O9" s="1068" t="s">
        <v>413</v>
      </c>
      <c r="P9" s="1068" t="s">
        <v>671</v>
      </c>
      <c r="Q9" s="1068" t="s">
        <v>413</v>
      </c>
      <c r="R9" s="1068" t="s">
        <v>671</v>
      </c>
      <c r="S9" s="1363"/>
    </row>
    <row r="10" spans="1:19" s="1086" customFormat="1">
      <c r="B10" s="1357"/>
      <c r="C10" s="1436"/>
      <c r="D10" s="1068" t="s">
        <v>72</v>
      </c>
      <c r="E10" s="1068" t="s">
        <v>73</v>
      </c>
      <c r="F10" s="1068" t="s">
        <v>705</v>
      </c>
      <c r="G10" s="1068" t="s">
        <v>419</v>
      </c>
      <c r="H10" s="1068" t="s">
        <v>420</v>
      </c>
      <c r="I10" s="1068" t="s">
        <v>706</v>
      </c>
      <c r="J10" s="1068" t="s">
        <v>676</v>
      </c>
      <c r="K10" s="1068" t="s">
        <v>593</v>
      </c>
      <c r="L10" s="1068" t="s">
        <v>677</v>
      </c>
      <c r="M10" s="1068" t="s">
        <v>707</v>
      </c>
      <c r="N10" s="1068" t="s">
        <v>708</v>
      </c>
      <c r="O10" s="1068" t="s">
        <v>709</v>
      </c>
      <c r="P10" s="1068" t="s">
        <v>596</v>
      </c>
      <c r="Q10" s="1068" t="s">
        <v>710</v>
      </c>
      <c r="R10" s="1068" t="s">
        <v>711</v>
      </c>
      <c r="S10" s="1364"/>
    </row>
    <row r="11" spans="1:19" s="74" customFormat="1">
      <c r="B11" s="143">
        <v>1</v>
      </c>
      <c r="C11" s="140" t="s">
        <v>32</v>
      </c>
      <c r="D11" s="560">
        <f>+D13</f>
        <v>3.34</v>
      </c>
      <c r="E11" s="560">
        <f>+E13</f>
        <v>7.5884471005569072</v>
      </c>
      <c r="F11" s="646">
        <f>E11-D11</f>
        <v>4.2484471005569073</v>
      </c>
      <c r="G11" s="560">
        <f>+G13</f>
        <v>0.75</v>
      </c>
      <c r="H11" s="560">
        <f>+H13</f>
        <v>0.53022883350753802</v>
      </c>
      <c r="I11" s="646">
        <f>H11-G11</f>
        <v>-0.21977116649246198</v>
      </c>
      <c r="J11" s="560">
        <f>+J13</f>
        <v>3.64</v>
      </c>
      <c r="K11" s="560">
        <f>+K13</f>
        <v>0</v>
      </c>
      <c r="L11" s="560">
        <f>+L13</f>
        <v>0</v>
      </c>
      <c r="M11" s="466">
        <v>0.42</v>
      </c>
      <c r="N11" s="1271"/>
      <c r="O11" s="1271"/>
      <c r="P11" s="466">
        <f>7.88+0.9</f>
        <v>8.7799999999999994</v>
      </c>
      <c r="Q11" s="466"/>
      <c r="R11" s="466">
        <f>7.02+0.9</f>
        <v>7.92</v>
      </c>
      <c r="S11" s="140"/>
    </row>
    <row r="12" spans="1:19" s="74" customFormat="1">
      <c r="B12" s="143"/>
      <c r="C12" s="140"/>
      <c r="D12" s="560"/>
      <c r="E12" s="560"/>
      <c r="F12" s="560"/>
      <c r="G12" s="560"/>
      <c r="H12" s="560"/>
      <c r="I12" s="560"/>
      <c r="J12" s="1271"/>
      <c r="K12" s="1271"/>
      <c r="L12" s="1271"/>
      <c r="M12" s="1271"/>
      <c r="N12" s="1271"/>
      <c r="O12" s="1271"/>
      <c r="P12" s="1271"/>
      <c r="Q12" s="466"/>
      <c r="R12" s="466"/>
      <c r="S12" s="140"/>
    </row>
    <row r="13" spans="1:19" s="74" customFormat="1">
      <c r="B13" s="143">
        <f>B11+1</f>
        <v>2</v>
      </c>
      <c r="C13" s="75" t="s">
        <v>28</v>
      </c>
      <c r="D13" s="691">
        <v>3.34</v>
      </c>
      <c r="E13" s="560">
        <f>(78373061/10^7)*ASSUM!C91</f>
        <v>7.5884471005569072</v>
      </c>
      <c r="F13" s="646">
        <f>E13-D13</f>
        <v>4.2484471005569073</v>
      </c>
      <c r="G13" s="646">
        <v>0.75</v>
      </c>
      <c r="H13" s="646">
        <f>(5476174/10^7)*ASSUM!D91</f>
        <v>0.53022883350753802</v>
      </c>
      <c r="I13" s="646"/>
      <c r="J13" s="691">
        <v>3.64</v>
      </c>
      <c r="K13" s="691"/>
      <c r="L13" s="691"/>
      <c r="M13" s="646">
        <v>0.42</v>
      </c>
      <c r="N13" s="691"/>
      <c r="O13" s="691">
        <v>2.96</v>
      </c>
      <c r="P13" s="691">
        <v>0.9</v>
      </c>
      <c r="Q13" s="560">
        <v>0</v>
      </c>
      <c r="R13" s="691">
        <v>0.9</v>
      </c>
      <c r="S13" s="140"/>
    </row>
    <row r="14" spans="1:19" s="74" customFormat="1">
      <c r="B14" s="143">
        <f t="shared" ref="B14:B15" si="0">B13+1</f>
        <v>3</v>
      </c>
      <c r="C14" s="75" t="s">
        <v>571</v>
      </c>
      <c r="D14" s="691">
        <v>0</v>
      </c>
      <c r="E14" s="646">
        <v>0</v>
      </c>
      <c r="F14" s="646">
        <f t="shared" ref="F14:F15" si="1">E14-D14</f>
        <v>0</v>
      </c>
      <c r="G14" s="646">
        <v>0</v>
      </c>
      <c r="H14" s="646">
        <v>0</v>
      </c>
      <c r="I14" s="646"/>
      <c r="J14" s="691">
        <v>0</v>
      </c>
      <c r="K14" s="691"/>
      <c r="L14" s="691"/>
      <c r="M14" s="646">
        <f>+J14</f>
        <v>0</v>
      </c>
      <c r="N14" s="691"/>
      <c r="O14" s="691">
        <v>0</v>
      </c>
      <c r="P14" s="691">
        <v>0</v>
      </c>
      <c r="Q14" s="466">
        <v>0</v>
      </c>
      <c r="R14" s="466">
        <v>0</v>
      </c>
      <c r="S14" s="140"/>
    </row>
    <row r="15" spans="1:19" s="76" customFormat="1">
      <c r="B15" s="842">
        <f t="shared" si="0"/>
        <v>4</v>
      </c>
      <c r="C15" s="147" t="s">
        <v>572</v>
      </c>
      <c r="D15" s="692">
        <f>+D13+D14</f>
        <v>3.34</v>
      </c>
      <c r="E15" s="841">
        <f>E13+E14</f>
        <v>7.5884471005569072</v>
      </c>
      <c r="F15" s="646">
        <f t="shared" si="1"/>
        <v>4.2484471005569073</v>
      </c>
      <c r="G15" s="841">
        <f>G13+G14</f>
        <v>0.75</v>
      </c>
      <c r="H15" s="841">
        <f t="shared" ref="H15:Q15" si="2">H13+H14</f>
        <v>0.53022883350753802</v>
      </c>
      <c r="I15" s="841">
        <f t="shared" si="2"/>
        <v>0</v>
      </c>
      <c r="J15" s="841">
        <f t="shared" si="2"/>
        <v>3.64</v>
      </c>
      <c r="K15" s="841">
        <f t="shared" si="2"/>
        <v>0</v>
      </c>
      <c r="L15" s="841">
        <f t="shared" si="2"/>
        <v>0</v>
      </c>
      <c r="M15" s="841">
        <f>M13+M14</f>
        <v>0.42</v>
      </c>
      <c r="N15" s="841">
        <f t="shared" si="2"/>
        <v>0</v>
      </c>
      <c r="O15" s="841">
        <f t="shared" si="2"/>
        <v>2.96</v>
      </c>
      <c r="P15" s="841">
        <f>P13+P14</f>
        <v>0.9</v>
      </c>
      <c r="Q15" s="841">
        <f t="shared" si="2"/>
        <v>0</v>
      </c>
      <c r="R15" s="841">
        <f>R13+R14</f>
        <v>0.9</v>
      </c>
      <c r="S15" s="144"/>
    </row>
    <row r="16" spans="1:19" s="1" customFormat="1">
      <c r="A16" s="155"/>
      <c r="B16" s="18"/>
      <c r="J16" s="155"/>
      <c r="K16" s="155"/>
      <c r="L16" s="155"/>
      <c r="M16" s="155"/>
    </row>
    <row r="17" spans="1:19" s="408" customFormat="1">
      <c r="A17" s="407"/>
      <c r="B17" s="389" t="s">
        <v>745</v>
      </c>
      <c r="C17" s="408" t="s">
        <v>743</v>
      </c>
      <c r="J17" s="407"/>
      <c r="K17" s="407"/>
      <c r="L17" s="407"/>
      <c r="M17" s="407"/>
    </row>
    <row r="18" spans="1:19" s="408" customFormat="1">
      <c r="A18" s="407"/>
      <c r="B18" s="389"/>
      <c r="C18" s="407" t="s">
        <v>744</v>
      </c>
      <c r="J18" s="407"/>
      <c r="K18" s="407"/>
      <c r="L18" s="407"/>
      <c r="M18" s="407"/>
    </row>
    <row r="19" spans="1:19" s="407" customFormat="1">
      <c r="I19" s="918"/>
    </row>
    <row r="21" spans="1:19">
      <c r="B21" s="165" t="s">
        <v>257</v>
      </c>
    </row>
    <row r="22" spans="1:19">
      <c r="S22" s="26" t="s">
        <v>16</v>
      </c>
    </row>
    <row r="23" spans="1:19" s="1086" customFormat="1" ht="12.75" customHeight="1">
      <c r="B23" s="1355" t="s">
        <v>157</v>
      </c>
      <c r="C23" s="1363" t="s">
        <v>49</v>
      </c>
      <c r="D23" s="1360" t="s">
        <v>38</v>
      </c>
      <c r="E23" s="1361"/>
      <c r="F23" s="1362"/>
      <c r="G23" s="1360" t="s">
        <v>146</v>
      </c>
      <c r="H23" s="1361"/>
      <c r="I23" s="1362"/>
      <c r="J23" s="1360" t="s">
        <v>147</v>
      </c>
      <c r="K23" s="1361"/>
      <c r="L23" s="1361"/>
      <c r="M23" s="1361"/>
      <c r="N23" s="1362"/>
      <c r="O23" s="1360" t="s">
        <v>148</v>
      </c>
      <c r="P23" s="1362"/>
      <c r="Q23" s="1363" t="s">
        <v>149</v>
      </c>
      <c r="R23" s="1363"/>
      <c r="S23" s="1363" t="s">
        <v>42</v>
      </c>
    </row>
    <row r="24" spans="1:19" s="1086" customFormat="1" ht="45.6" customHeight="1">
      <c r="B24" s="1356"/>
      <c r="C24" s="1363"/>
      <c r="D24" s="1068" t="s">
        <v>746</v>
      </c>
      <c r="E24" s="1068" t="s">
        <v>414</v>
      </c>
      <c r="F24" s="1068" t="s">
        <v>415</v>
      </c>
      <c r="G24" s="1068" t="s">
        <v>413</v>
      </c>
      <c r="H24" s="1068" t="s">
        <v>414</v>
      </c>
      <c r="I24" s="1068" t="s">
        <v>415</v>
      </c>
      <c r="J24" s="1068" t="s">
        <v>413</v>
      </c>
      <c r="K24" s="1068" t="s">
        <v>416</v>
      </c>
      <c r="L24" s="1068" t="s">
        <v>335</v>
      </c>
      <c r="M24" s="1068" t="s">
        <v>71</v>
      </c>
      <c r="N24" s="1068" t="s">
        <v>417</v>
      </c>
      <c r="O24" s="1068" t="s">
        <v>413</v>
      </c>
      <c r="P24" s="1068" t="s">
        <v>671</v>
      </c>
      <c r="Q24" s="1068" t="s">
        <v>413</v>
      </c>
      <c r="R24" s="1068" t="s">
        <v>671</v>
      </c>
      <c r="S24" s="1363"/>
    </row>
    <row r="25" spans="1:19" s="1086" customFormat="1">
      <c r="B25" s="1357"/>
      <c r="C25" s="1436"/>
      <c r="D25" s="1068" t="s">
        <v>72</v>
      </c>
      <c r="E25" s="1068" t="s">
        <v>73</v>
      </c>
      <c r="F25" s="1068" t="s">
        <v>705</v>
      </c>
      <c r="G25" s="1068" t="s">
        <v>419</v>
      </c>
      <c r="H25" s="1068" t="s">
        <v>420</v>
      </c>
      <c r="I25" s="1068" t="s">
        <v>706</v>
      </c>
      <c r="J25" s="1068" t="s">
        <v>676</v>
      </c>
      <c r="K25" s="1068" t="s">
        <v>593</v>
      </c>
      <c r="L25" s="1068" t="s">
        <v>677</v>
      </c>
      <c r="M25" s="1068" t="s">
        <v>707</v>
      </c>
      <c r="N25" s="1068" t="s">
        <v>708</v>
      </c>
      <c r="O25" s="1068" t="s">
        <v>709</v>
      </c>
      <c r="P25" s="1068" t="s">
        <v>596</v>
      </c>
      <c r="Q25" s="1068" t="s">
        <v>710</v>
      </c>
      <c r="R25" s="1068" t="s">
        <v>711</v>
      </c>
      <c r="S25" s="1364"/>
    </row>
    <row r="26" spans="1:19" s="74" customFormat="1">
      <c r="B26" s="143">
        <v>1</v>
      </c>
      <c r="C26" s="140" t="s">
        <v>32</v>
      </c>
      <c r="D26" s="560">
        <f>+D28</f>
        <v>0.43</v>
      </c>
      <c r="E26" s="560">
        <f>+E28</f>
        <v>0.24885899944309314</v>
      </c>
      <c r="F26" s="646">
        <f>E26-D26</f>
        <v>-0.18114100055690685</v>
      </c>
      <c r="G26" s="560">
        <f>+G28</f>
        <v>0</v>
      </c>
      <c r="H26" s="560">
        <f>+H28</f>
        <v>1.738856649246201E-2</v>
      </c>
      <c r="I26" s="646">
        <f>H26-G26</f>
        <v>1.738856649246201E-2</v>
      </c>
      <c r="J26" s="560">
        <f>+J28</f>
        <v>0.01</v>
      </c>
      <c r="K26" s="560">
        <f>+K28</f>
        <v>0</v>
      </c>
      <c r="L26" s="646"/>
      <c r="M26" s="1271"/>
      <c r="N26" s="1271"/>
      <c r="O26" s="1271"/>
      <c r="P26" s="1271"/>
      <c r="Q26" s="1271"/>
      <c r="R26" s="1271"/>
      <c r="S26" s="145"/>
    </row>
    <row r="27" spans="1:19" s="74" customFormat="1">
      <c r="B27" s="143"/>
      <c r="C27" s="140"/>
      <c r="D27" s="560"/>
      <c r="E27" s="560"/>
      <c r="F27" s="560"/>
      <c r="G27" s="560"/>
      <c r="H27" s="560"/>
      <c r="I27" s="560"/>
      <c r="J27" s="1271"/>
      <c r="K27" s="1271"/>
      <c r="L27" s="1271"/>
      <c r="M27" s="1271"/>
      <c r="N27" s="1271"/>
      <c r="O27" s="1271"/>
      <c r="P27" s="1271"/>
      <c r="Q27" s="1271"/>
      <c r="R27" s="1271"/>
      <c r="S27" s="145"/>
    </row>
    <row r="28" spans="1:19" s="74" customFormat="1">
      <c r="B28" s="143">
        <f>B26+1</f>
        <v>2</v>
      </c>
      <c r="C28" s="75" t="s">
        <v>28</v>
      </c>
      <c r="D28" s="691">
        <v>0.43</v>
      </c>
      <c r="E28" s="560">
        <f>(78373061)/10^7*ASSUM!C92</f>
        <v>0.24885899944309314</v>
      </c>
      <c r="F28" s="646"/>
      <c r="G28" s="646">
        <v>0</v>
      </c>
      <c r="H28" s="646">
        <f>(5476174/10^7)*ASSUM!D92</f>
        <v>1.738856649246201E-2</v>
      </c>
      <c r="I28" s="646"/>
      <c r="J28" s="691">
        <v>0.01</v>
      </c>
      <c r="K28" s="691"/>
      <c r="L28" s="691"/>
      <c r="M28" s="691">
        <v>0</v>
      </c>
      <c r="N28" s="691"/>
      <c r="O28" s="691">
        <v>0.01</v>
      </c>
      <c r="P28" s="691">
        <v>0</v>
      </c>
      <c r="Q28" s="691">
        <v>0</v>
      </c>
      <c r="R28" s="691">
        <v>0</v>
      </c>
      <c r="S28" s="691"/>
    </row>
    <row r="29" spans="1:19" s="74" customFormat="1">
      <c r="B29" s="143">
        <f t="shared" ref="B29:B30" si="3">B28+1</f>
        <v>3</v>
      </c>
      <c r="C29" s="75" t="s">
        <v>571</v>
      </c>
      <c r="D29" s="691">
        <v>0</v>
      </c>
      <c r="E29" s="646">
        <v>0</v>
      </c>
      <c r="F29" s="646"/>
      <c r="G29" s="646">
        <v>0</v>
      </c>
      <c r="H29" s="646">
        <v>0</v>
      </c>
      <c r="I29" s="646"/>
      <c r="J29" s="691">
        <v>0</v>
      </c>
      <c r="K29" s="691"/>
      <c r="L29" s="691"/>
      <c r="M29" s="691">
        <v>0</v>
      </c>
      <c r="N29" s="691"/>
      <c r="O29" s="691">
        <v>0</v>
      </c>
      <c r="P29" s="691">
        <v>0</v>
      </c>
      <c r="Q29" s="691">
        <v>0</v>
      </c>
      <c r="R29" s="691">
        <v>0</v>
      </c>
      <c r="S29" s="691"/>
    </row>
    <row r="30" spans="1:19" s="76" customFormat="1">
      <c r="B30" s="842">
        <f t="shared" si="3"/>
        <v>4</v>
      </c>
      <c r="C30" s="147" t="s">
        <v>572</v>
      </c>
      <c r="D30" s="841">
        <f>D28+D29</f>
        <v>0.43</v>
      </c>
      <c r="E30" s="841">
        <f t="shared" ref="E30:Q30" si="4">E28+E29</f>
        <v>0.24885899944309314</v>
      </c>
      <c r="F30" s="841">
        <f t="shared" si="4"/>
        <v>0</v>
      </c>
      <c r="G30" s="841">
        <f t="shared" si="4"/>
        <v>0</v>
      </c>
      <c r="H30" s="841">
        <f t="shared" si="4"/>
        <v>1.738856649246201E-2</v>
      </c>
      <c r="I30" s="841">
        <f t="shared" si="4"/>
        <v>0</v>
      </c>
      <c r="J30" s="841">
        <f t="shared" si="4"/>
        <v>0.01</v>
      </c>
      <c r="K30" s="841">
        <f t="shared" si="4"/>
        <v>0</v>
      </c>
      <c r="L30" s="841">
        <f t="shared" si="4"/>
        <v>0</v>
      </c>
      <c r="M30" s="841">
        <f>M28+M29</f>
        <v>0</v>
      </c>
      <c r="N30" s="841">
        <f t="shared" si="4"/>
        <v>0</v>
      </c>
      <c r="O30" s="841">
        <f>O28+O29</f>
        <v>0.01</v>
      </c>
      <c r="P30" s="841">
        <f>P28+P29</f>
        <v>0</v>
      </c>
      <c r="Q30" s="841">
        <f t="shared" si="4"/>
        <v>0</v>
      </c>
      <c r="R30" s="841">
        <f>R28+R29</f>
        <v>0</v>
      </c>
      <c r="S30" s="691"/>
    </row>
    <row r="32" spans="1:19" s="408" customFormat="1">
      <c r="A32" s="407"/>
      <c r="B32" s="389" t="s">
        <v>745</v>
      </c>
      <c r="C32" s="408" t="s">
        <v>743</v>
      </c>
      <c r="J32" s="407"/>
      <c r="K32" s="407"/>
      <c r="L32" s="407"/>
      <c r="M32" s="407"/>
    </row>
    <row r="33" spans="1:13" s="408" customFormat="1">
      <c r="A33" s="407"/>
      <c r="B33" s="389"/>
      <c r="C33" s="407" t="s">
        <v>744</v>
      </c>
      <c r="J33" s="407"/>
      <c r="K33" s="407"/>
      <c r="L33" s="407"/>
      <c r="M33" s="407"/>
    </row>
    <row r="35" spans="1:13">
      <c r="E35" s="834"/>
      <c r="G35" s="1080"/>
      <c r="H35" s="1080"/>
      <c r="J35" s="1080"/>
      <c r="M35" s="1080"/>
    </row>
    <row r="36" spans="1:13">
      <c r="G36" s="1080"/>
      <c r="H36" s="1080"/>
      <c r="J36" s="1080"/>
      <c r="M36" s="1080"/>
    </row>
    <row r="37" spans="1:13">
      <c r="H37" s="1080"/>
      <c r="J37" s="1080"/>
      <c r="M37" s="1080"/>
    </row>
    <row r="39" spans="1:13">
      <c r="H39" s="1080"/>
      <c r="J39" s="1080"/>
    </row>
    <row r="40" spans="1:13">
      <c r="H40" s="1080"/>
      <c r="J40" s="1080"/>
    </row>
    <row r="41" spans="1:13">
      <c r="H41" s="1080"/>
      <c r="J41" s="1080"/>
    </row>
  </sheetData>
  <mergeCells count="16">
    <mergeCell ref="O8:P8"/>
    <mergeCell ref="Q8:R8"/>
    <mergeCell ref="S8:S10"/>
    <mergeCell ref="B23:B25"/>
    <mergeCell ref="C23:C25"/>
    <mergeCell ref="D23:F23"/>
    <mergeCell ref="G23:I23"/>
    <mergeCell ref="J23:N23"/>
    <mergeCell ref="O23:P23"/>
    <mergeCell ref="Q23:R23"/>
    <mergeCell ref="S23:S25"/>
    <mergeCell ref="B8:B10"/>
    <mergeCell ref="C8:C10"/>
    <mergeCell ref="D8:F8"/>
    <mergeCell ref="G8:I8"/>
    <mergeCell ref="J8:N8"/>
  </mergeCells>
  <pageMargins left="1.02" right="0.25" top="1" bottom="1" header="0.25" footer="0.25"/>
  <pageSetup paperSize="9" scale="44" fitToHeight="0" orientation="landscape" r:id="rId1"/>
  <headerFooter alignWithMargins="0">
    <oddHeade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2:P49"/>
  <sheetViews>
    <sheetView showGridLines="0" view="pageBreakPreview" zoomScale="60" zoomScaleNormal="80" workbookViewId="0">
      <selection activeCell="C17" sqref="C17"/>
    </sheetView>
  </sheetViews>
  <sheetFormatPr defaultColWidth="9.140625" defaultRowHeight="15"/>
  <cols>
    <col min="1" max="1" width="6.28515625" style="18" customWidth="1"/>
    <col min="2" max="2" width="11.7109375" style="18" customWidth="1"/>
    <col min="3" max="3" width="83.7109375" style="18" customWidth="1"/>
    <col min="4" max="4" width="17.7109375" style="18" customWidth="1"/>
    <col min="5" max="7" width="20.7109375" style="18" customWidth="1"/>
    <col min="8" max="16" width="18.7109375" style="18" customWidth="1"/>
    <col min="17" max="16384" width="9.140625" style="18"/>
  </cols>
  <sheetData>
    <row r="2" spans="2:16" ht="15.75">
      <c r="B2" s="1346" t="s">
        <v>906</v>
      </c>
      <c r="C2" s="1347"/>
      <c r="D2" s="1347"/>
      <c r="E2" s="33"/>
      <c r="F2" s="33"/>
      <c r="G2" s="33"/>
      <c r="H2" s="33"/>
      <c r="I2" s="33"/>
      <c r="J2" s="33"/>
      <c r="K2" s="33"/>
      <c r="L2" s="33"/>
      <c r="M2" s="33"/>
      <c r="N2" s="33"/>
      <c r="O2" s="33"/>
      <c r="P2" s="33"/>
    </row>
    <row r="3" spans="2:16" s="7" customFormat="1">
      <c r="B3" s="1348" t="s">
        <v>719</v>
      </c>
      <c r="C3" s="1349"/>
      <c r="D3" s="1349"/>
      <c r="E3" s="33"/>
      <c r="F3" s="33"/>
      <c r="G3" s="33"/>
      <c r="H3" s="33"/>
      <c r="I3" s="33"/>
      <c r="J3" s="33"/>
      <c r="K3" s="33"/>
      <c r="L3" s="33"/>
      <c r="M3" s="33"/>
      <c r="N3" s="33"/>
      <c r="O3" s="33"/>
      <c r="P3" s="33"/>
    </row>
    <row r="4" spans="2:16" ht="15.75">
      <c r="B4" s="34"/>
      <c r="C4" s="34"/>
      <c r="D4" s="34"/>
      <c r="E4" s="34"/>
      <c r="F4" s="34"/>
      <c r="G4" s="34"/>
      <c r="H4" s="34"/>
      <c r="I4" s="34"/>
      <c r="J4" s="34"/>
      <c r="K4" s="34"/>
      <c r="L4" s="34"/>
      <c r="M4" s="34"/>
      <c r="N4" s="34"/>
      <c r="O4" s="34"/>
      <c r="P4" s="34"/>
    </row>
    <row r="5" spans="2:16" ht="15.75">
      <c r="B5" s="34"/>
      <c r="C5" s="34"/>
      <c r="D5" s="34"/>
      <c r="E5" s="34"/>
      <c r="F5" s="34"/>
      <c r="G5" s="34"/>
      <c r="H5" s="34"/>
      <c r="I5" s="34"/>
      <c r="J5" s="34"/>
      <c r="K5" s="34"/>
      <c r="L5" s="34"/>
      <c r="M5" s="34"/>
      <c r="N5" s="34"/>
      <c r="O5" s="35"/>
      <c r="P5" s="34"/>
    </row>
    <row r="6" spans="2:16" ht="12.75" customHeight="1">
      <c r="B6" s="1350" t="s">
        <v>157</v>
      </c>
      <c r="C6" s="1353" t="s">
        <v>25</v>
      </c>
      <c r="D6" s="1353" t="s">
        <v>10</v>
      </c>
    </row>
    <row r="7" spans="2:16">
      <c r="B7" s="1351"/>
      <c r="C7" s="1353"/>
      <c r="D7" s="1353"/>
    </row>
    <row r="8" spans="2:16">
      <c r="B8" s="1352"/>
      <c r="C8" s="1354"/>
      <c r="D8" s="1354"/>
    </row>
    <row r="9" spans="2:16" ht="18" customHeight="1">
      <c r="B9" s="109">
        <v>1</v>
      </c>
      <c r="C9" s="108" t="s">
        <v>338</v>
      </c>
      <c r="D9" s="110" t="s">
        <v>23</v>
      </c>
    </row>
    <row r="10" spans="2:16" ht="18" customHeight="1">
      <c r="B10" s="109">
        <f>B9+1</f>
        <v>2</v>
      </c>
      <c r="C10" s="108" t="s">
        <v>339</v>
      </c>
      <c r="D10" s="110" t="s">
        <v>341</v>
      </c>
    </row>
    <row r="11" spans="2:16" ht="18" customHeight="1">
      <c r="B11" s="109">
        <f t="shared" ref="B11:B49" si="0">B10+1</f>
        <v>3</v>
      </c>
      <c r="C11" s="108" t="s">
        <v>661</v>
      </c>
      <c r="D11" s="110" t="s">
        <v>342</v>
      </c>
    </row>
    <row r="12" spans="2:16" ht="18" customHeight="1">
      <c r="B12" s="109">
        <f>B11+1</f>
        <v>4</v>
      </c>
      <c r="C12" s="108" t="s">
        <v>340</v>
      </c>
      <c r="D12" s="110" t="s">
        <v>441</v>
      </c>
    </row>
    <row r="13" spans="2:16" ht="18" customHeight="1">
      <c r="B13" s="109">
        <f t="shared" si="0"/>
        <v>5</v>
      </c>
      <c r="C13" s="108" t="s">
        <v>660</v>
      </c>
      <c r="D13" s="110" t="s">
        <v>658</v>
      </c>
    </row>
    <row r="14" spans="2:16" ht="18" customHeight="1">
      <c r="B14" s="109">
        <f t="shared" si="0"/>
        <v>6</v>
      </c>
      <c r="C14" s="108" t="s">
        <v>581</v>
      </c>
      <c r="D14" s="110" t="s">
        <v>659</v>
      </c>
    </row>
    <row r="15" spans="2:16" ht="18" customHeight="1">
      <c r="B15" s="109">
        <f t="shared" si="0"/>
        <v>7</v>
      </c>
      <c r="C15" s="108" t="s">
        <v>229</v>
      </c>
      <c r="D15" s="110" t="s">
        <v>234</v>
      </c>
    </row>
    <row r="16" spans="2:16" ht="18" customHeight="1">
      <c r="B16" s="109">
        <f t="shared" si="0"/>
        <v>8</v>
      </c>
      <c r="C16" s="108" t="s">
        <v>547</v>
      </c>
      <c r="D16" s="110" t="s">
        <v>546</v>
      </c>
    </row>
    <row r="17" spans="2:4" ht="18" customHeight="1">
      <c r="B17" s="109">
        <f t="shared" si="0"/>
        <v>9</v>
      </c>
      <c r="C17" s="108" t="s">
        <v>343</v>
      </c>
      <c r="D17" s="110" t="s">
        <v>344</v>
      </c>
    </row>
    <row r="18" spans="2:4" ht="18" customHeight="1">
      <c r="B18" s="109">
        <f t="shared" si="0"/>
        <v>10</v>
      </c>
      <c r="C18" s="111" t="s">
        <v>58</v>
      </c>
      <c r="D18" s="110" t="s">
        <v>55</v>
      </c>
    </row>
    <row r="19" spans="2:4" ht="18" customHeight="1">
      <c r="B19" s="109">
        <f t="shared" si="0"/>
        <v>11</v>
      </c>
      <c r="C19" s="111" t="s">
        <v>345</v>
      </c>
      <c r="D19" s="110" t="s">
        <v>59</v>
      </c>
    </row>
    <row r="20" spans="2:4" ht="18" customHeight="1">
      <c r="B20" s="109">
        <f t="shared" si="0"/>
        <v>12</v>
      </c>
      <c r="C20" s="111" t="s">
        <v>346</v>
      </c>
      <c r="D20" s="110" t="s">
        <v>60</v>
      </c>
    </row>
    <row r="21" spans="2:4" ht="18" customHeight="1">
      <c r="B21" s="109">
        <f t="shared" si="0"/>
        <v>13</v>
      </c>
      <c r="C21" s="111" t="s">
        <v>84</v>
      </c>
      <c r="D21" s="110" t="s">
        <v>61</v>
      </c>
    </row>
    <row r="22" spans="2:4" ht="18" customHeight="1">
      <c r="B22" s="109">
        <f t="shared" si="0"/>
        <v>14</v>
      </c>
      <c r="C22" s="111" t="s">
        <v>347</v>
      </c>
      <c r="D22" s="110" t="s">
        <v>62</v>
      </c>
    </row>
    <row r="23" spans="2:4" ht="18" customHeight="1">
      <c r="B23" s="109">
        <f t="shared" si="0"/>
        <v>15</v>
      </c>
      <c r="C23" s="108" t="s">
        <v>348</v>
      </c>
      <c r="D23" s="110" t="s">
        <v>349</v>
      </c>
    </row>
    <row r="24" spans="2:4" ht="18" customHeight="1">
      <c r="B24" s="109">
        <f t="shared" si="0"/>
        <v>16</v>
      </c>
      <c r="C24" s="108" t="s">
        <v>576</v>
      </c>
      <c r="D24" s="110" t="s">
        <v>56</v>
      </c>
    </row>
    <row r="25" spans="2:4" ht="18" customHeight="1">
      <c r="B25" s="109">
        <f t="shared" si="0"/>
        <v>17</v>
      </c>
      <c r="C25" s="108" t="s">
        <v>24</v>
      </c>
      <c r="D25" s="110" t="s">
        <v>213</v>
      </c>
    </row>
    <row r="26" spans="2:4" ht="18" customHeight="1">
      <c r="B26" s="109">
        <f t="shared" si="0"/>
        <v>18</v>
      </c>
      <c r="C26" s="108" t="s">
        <v>142</v>
      </c>
      <c r="D26" s="110" t="s">
        <v>573</v>
      </c>
    </row>
    <row r="27" spans="2:4" ht="18" customHeight="1">
      <c r="B27" s="109">
        <f t="shared" si="0"/>
        <v>19</v>
      </c>
      <c r="C27" s="108" t="s">
        <v>575</v>
      </c>
      <c r="D27" s="110" t="s">
        <v>574</v>
      </c>
    </row>
    <row r="28" spans="2:4" ht="18" customHeight="1">
      <c r="B28" s="109">
        <f t="shared" si="0"/>
        <v>20</v>
      </c>
      <c r="C28" s="108" t="s">
        <v>350</v>
      </c>
      <c r="D28" s="110" t="s">
        <v>63</v>
      </c>
    </row>
    <row r="29" spans="2:4" ht="18" customHeight="1">
      <c r="B29" s="109">
        <f t="shared" si="0"/>
        <v>21</v>
      </c>
      <c r="C29" s="108" t="s">
        <v>351</v>
      </c>
      <c r="D29" s="110" t="s">
        <v>254</v>
      </c>
    </row>
    <row r="30" spans="2:4" ht="18" customHeight="1">
      <c r="B30" s="109">
        <f t="shared" si="0"/>
        <v>22</v>
      </c>
      <c r="C30" s="108" t="s">
        <v>352</v>
      </c>
      <c r="D30" s="110" t="s">
        <v>255</v>
      </c>
    </row>
    <row r="31" spans="2:4" ht="18" customHeight="1">
      <c r="B31" s="109">
        <f t="shared" si="0"/>
        <v>23</v>
      </c>
      <c r="C31" s="111" t="s">
        <v>152</v>
      </c>
      <c r="D31" s="110" t="s">
        <v>64</v>
      </c>
    </row>
    <row r="32" spans="2:4" ht="18" customHeight="1">
      <c r="B32" s="109">
        <f t="shared" si="0"/>
        <v>24</v>
      </c>
      <c r="C32" s="108" t="s">
        <v>353</v>
      </c>
      <c r="D32" s="110" t="s">
        <v>65</v>
      </c>
    </row>
    <row r="33" spans="2:4" ht="18" customHeight="1">
      <c r="B33" s="109">
        <f t="shared" si="0"/>
        <v>25</v>
      </c>
      <c r="C33" s="108" t="s">
        <v>525</v>
      </c>
      <c r="D33" s="110" t="s">
        <v>66</v>
      </c>
    </row>
    <row r="34" spans="2:4" ht="18" customHeight="1">
      <c r="B34" s="109">
        <f>B33+1</f>
        <v>26</v>
      </c>
      <c r="C34" s="108" t="s">
        <v>143</v>
      </c>
      <c r="D34" s="110" t="s">
        <v>67</v>
      </c>
    </row>
    <row r="35" spans="2:4" ht="18" customHeight="1">
      <c r="B35" s="109">
        <f t="shared" si="0"/>
        <v>27</v>
      </c>
      <c r="C35" s="111" t="s">
        <v>227</v>
      </c>
      <c r="D35" s="110" t="s">
        <v>68</v>
      </c>
    </row>
    <row r="36" spans="2:4" ht="18" customHeight="1">
      <c r="B36" s="109">
        <f t="shared" si="0"/>
        <v>28</v>
      </c>
      <c r="C36" s="306" t="s">
        <v>506</v>
      </c>
      <c r="D36" s="110" t="s">
        <v>69</v>
      </c>
    </row>
    <row r="37" spans="2:4" ht="18" customHeight="1">
      <c r="B37" s="109">
        <f t="shared" si="0"/>
        <v>29</v>
      </c>
      <c r="C37" s="108" t="s">
        <v>76</v>
      </c>
      <c r="D37" s="110" t="s">
        <v>145</v>
      </c>
    </row>
    <row r="38" spans="2:4" ht="18" customHeight="1">
      <c r="B38" s="109">
        <f t="shared" si="0"/>
        <v>30</v>
      </c>
      <c r="C38" s="108" t="s">
        <v>700</v>
      </c>
      <c r="D38" s="110" t="s">
        <v>162</v>
      </c>
    </row>
    <row r="39" spans="2:4" ht="18" customHeight="1">
      <c r="B39" s="109">
        <f t="shared" si="0"/>
        <v>31</v>
      </c>
      <c r="C39" s="108" t="s">
        <v>354</v>
      </c>
      <c r="D39" s="110" t="s">
        <v>359</v>
      </c>
    </row>
    <row r="40" spans="2:4" ht="18" customHeight="1">
      <c r="B40" s="109">
        <f t="shared" si="0"/>
        <v>32</v>
      </c>
      <c r="C40" s="108" t="s">
        <v>355</v>
      </c>
      <c r="D40" s="110" t="s">
        <v>360</v>
      </c>
    </row>
    <row r="41" spans="2:4" ht="18" customHeight="1">
      <c r="B41" s="109">
        <f t="shared" si="0"/>
        <v>33</v>
      </c>
      <c r="C41" s="108" t="s">
        <v>356</v>
      </c>
      <c r="D41" s="110" t="s">
        <v>361</v>
      </c>
    </row>
    <row r="42" spans="2:4" ht="18" customHeight="1">
      <c r="B42" s="109">
        <f t="shared" si="0"/>
        <v>34</v>
      </c>
      <c r="C42" s="108" t="s">
        <v>362</v>
      </c>
      <c r="D42" s="110" t="s">
        <v>357</v>
      </c>
    </row>
    <row r="43" spans="2:4" ht="18" customHeight="1">
      <c r="B43" s="109">
        <f t="shared" si="0"/>
        <v>35</v>
      </c>
      <c r="C43" s="108" t="s">
        <v>363</v>
      </c>
      <c r="D43" s="110" t="s">
        <v>358</v>
      </c>
    </row>
    <row r="44" spans="2:4" ht="18" customHeight="1">
      <c r="B44" s="109">
        <f t="shared" si="0"/>
        <v>36</v>
      </c>
      <c r="C44" s="108" t="s">
        <v>364</v>
      </c>
      <c r="D44" s="110" t="s">
        <v>365</v>
      </c>
    </row>
    <row r="45" spans="2:4" ht="18" customHeight="1">
      <c r="B45" s="109">
        <f t="shared" si="0"/>
        <v>37</v>
      </c>
      <c r="C45" s="108" t="s">
        <v>523</v>
      </c>
      <c r="D45" s="110" t="s">
        <v>366</v>
      </c>
    </row>
    <row r="46" spans="2:4" ht="18" customHeight="1">
      <c r="B46" s="109">
        <f t="shared" si="0"/>
        <v>38</v>
      </c>
      <c r="C46" s="108" t="s">
        <v>524</v>
      </c>
      <c r="D46" s="110" t="s">
        <v>367</v>
      </c>
    </row>
    <row r="47" spans="2:4" ht="18" customHeight="1">
      <c r="B47" s="109">
        <f t="shared" si="0"/>
        <v>39</v>
      </c>
      <c r="C47" s="108" t="s">
        <v>493</v>
      </c>
      <c r="D47" s="110" t="s">
        <v>398</v>
      </c>
    </row>
    <row r="48" spans="2:4" ht="18" customHeight="1">
      <c r="B48" s="109">
        <f t="shared" si="0"/>
        <v>40</v>
      </c>
      <c r="C48" s="108" t="s">
        <v>399</v>
      </c>
      <c r="D48" s="110" t="s">
        <v>521</v>
      </c>
    </row>
    <row r="49" spans="2:4" ht="18" customHeight="1">
      <c r="B49" s="109">
        <f t="shared" si="0"/>
        <v>41</v>
      </c>
      <c r="C49" s="108" t="s">
        <v>733</v>
      </c>
      <c r="D49" s="110" t="s">
        <v>522</v>
      </c>
    </row>
  </sheetData>
  <mergeCells count="5">
    <mergeCell ref="B2:D2"/>
    <mergeCell ref="B3:D3"/>
    <mergeCell ref="B6:B8"/>
    <mergeCell ref="C6:C8"/>
    <mergeCell ref="D6:D8"/>
  </mergeCells>
  <pageMargins left="0.55000000000000004" right="0.23622047244094499" top="0.52" bottom="0.48" header="0.23622047244094499" footer="0.23622047244094499"/>
  <pageSetup paperSize="9" scale="81"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B2:X191"/>
  <sheetViews>
    <sheetView showGridLines="0" view="pageBreakPreview" topLeftCell="A60" zoomScale="50" zoomScaleNormal="50" zoomScaleSheetLayoutView="50" workbookViewId="0">
      <selection activeCell="C11" sqref="C11:C12"/>
    </sheetView>
  </sheetViews>
  <sheetFormatPr defaultColWidth="9.140625" defaultRowHeight="15"/>
  <cols>
    <col min="1" max="1" width="4.5703125" style="1" customWidth="1"/>
    <col min="2" max="2" width="48.5703125" style="1" bestFit="1" customWidth="1"/>
    <col min="3" max="3" width="23.85546875" style="1" bestFit="1" customWidth="1"/>
    <col min="4" max="4" width="25.28515625" style="1" bestFit="1" customWidth="1"/>
    <col min="5" max="5" width="15.7109375" style="1" customWidth="1"/>
    <col min="6" max="6" width="48.5703125" style="1" bestFit="1" customWidth="1"/>
    <col min="7" max="7" width="20.7109375" style="1" customWidth="1"/>
    <col min="8" max="8" width="14.28515625" style="1" customWidth="1"/>
    <col min="9" max="13" width="15.42578125" style="1" customWidth="1"/>
    <col min="14" max="14" width="16.42578125" style="1" customWidth="1"/>
    <col min="15" max="15" width="21.28515625" style="1" customWidth="1"/>
    <col min="16" max="16" width="12.7109375" style="1" customWidth="1"/>
    <col min="17" max="17" width="14" style="1" customWidth="1"/>
    <col min="18" max="20" width="12.7109375" style="1" customWidth="1"/>
    <col min="21" max="21" width="15.28515625" style="1" customWidth="1"/>
    <col min="22" max="22" width="12.5703125" style="1" customWidth="1"/>
    <col min="23" max="23" width="13.42578125" style="1" customWidth="1"/>
    <col min="24" max="24" width="13.5703125" style="1" customWidth="1"/>
    <col min="25" max="16384" width="9.140625" style="1"/>
  </cols>
  <sheetData>
    <row r="2" spans="2:24">
      <c r="C2" s="291"/>
      <c r="D2" s="291"/>
      <c r="E2" s="291"/>
      <c r="F2" s="291"/>
      <c r="G2" s="214" t="s">
        <v>906</v>
      </c>
      <c r="H2" s="291"/>
      <c r="I2" s="291"/>
      <c r="J2" s="291"/>
      <c r="K2" s="291"/>
      <c r="L2" s="214"/>
      <c r="M2" s="214"/>
      <c r="N2" s="214"/>
      <c r="O2" s="214"/>
    </row>
    <row r="3" spans="2:24">
      <c r="C3" s="240"/>
      <c r="D3" s="240"/>
      <c r="E3" s="240"/>
      <c r="F3" s="240"/>
      <c r="G3" s="1073" t="s">
        <v>724</v>
      </c>
      <c r="H3" s="240"/>
      <c r="I3" s="240"/>
      <c r="J3" s="240"/>
      <c r="K3" s="240"/>
      <c r="L3" s="189"/>
      <c r="M3" s="189"/>
      <c r="N3" s="189"/>
      <c r="O3" s="189"/>
      <c r="P3" s="9"/>
      <c r="Q3" s="9"/>
      <c r="R3" s="9"/>
      <c r="S3" s="9"/>
    </row>
    <row r="4" spans="2:24">
      <c r="C4" s="292"/>
      <c r="D4" s="292"/>
      <c r="E4" s="292"/>
      <c r="F4" s="292"/>
      <c r="G4" s="293" t="s">
        <v>639</v>
      </c>
      <c r="H4" s="292"/>
      <c r="I4" s="292"/>
      <c r="J4" s="292"/>
      <c r="K4" s="292"/>
      <c r="L4" s="343"/>
      <c r="M4" s="343"/>
      <c r="N4" s="343"/>
      <c r="O4" s="343"/>
      <c r="P4" s="9"/>
      <c r="Q4" s="9"/>
      <c r="R4" s="9"/>
      <c r="S4" s="9"/>
    </row>
    <row r="5" spans="2:24">
      <c r="B5" s="12"/>
      <c r="C5" s="157"/>
      <c r="D5" s="157"/>
      <c r="E5" s="157"/>
      <c r="F5" s="9"/>
      <c r="G5" s="9"/>
      <c r="H5" s="9"/>
      <c r="I5" s="9"/>
      <c r="J5" s="9"/>
      <c r="K5" s="9"/>
      <c r="L5" s="9"/>
      <c r="M5" s="9"/>
      <c r="N5" s="9"/>
      <c r="O5" s="9"/>
      <c r="P5" s="9"/>
      <c r="Q5" s="9"/>
      <c r="R5" s="9"/>
      <c r="S5" s="9"/>
      <c r="T5" s="9"/>
      <c r="U5" s="9"/>
      <c r="V5" s="9"/>
      <c r="W5" s="9"/>
      <c r="X5" s="9"/>
    </row>
    <row r="6" spans="2:24">
      <c r="B6" s="169" t="s">
        <v>1293</v>
      </c>
      <c r="C6" s="157"/>
      <c r="D6" s="157"/>
      <c r="E6" s="157"/>
      <c r="F6" s="9"/>
      <c r="G6" s="9"/>
      <c r="H6" s="9"/>
      <c r="I6" s="9"/>
      <c r="J6" s="9"/>
      <c r="K6" s="9"/>
      <c r="L6" s="9"/>
      <c r="M6" s="9"/>
      <c r="N6" s="9"/>
      <c r="O6" s="9"/>
      <c r="P6" s="9"/>
      <c r="Q6" s="9"/>
      <c r="R6" s="9"/>
      <c r="S6" s="9"/>
      <c r="T6" s="9"/>
      <c r="U6" s="9"/>
      <c r="V6" s="9"/>
      <c r="W6" s="9"/>
      <c r="X6" s="9"/>
    </row>
    <row r="7" spans="2:24">
      <c r="B7" s="12"/>
      <c r="C7" s="157"/>
      <c r="D7" s="157"/>
      <c r="E7" s="157"/>
      <c r="F7" s="9"/>
      <c r="G7" s="9"/>
      <c r="H7" s="9"/>
      <c r="I7" s="9"/>
      <c r="J7" s="9"/>
      <c r="K7" s="9"/>
      <c r="L7" s="9"/>
      <c r="M7" s="9"/>
      <c r="N7" s="9"/>
      <c r="O7" s="9"/>
      <c r="P7" s="9"/>
      <c r="Q7" s="9"/>
      <c r="R7" s="9"/>
      <c r="S7" s="9"/>
      <c r="T7" s="9"/>
      <c r="U7" s="9"/>
      <c r="V7" s="9"/>
      <c r="W7" s="9"/>
      <c r="X7" s="9"/>
    </row>
    <row r="8" spans="2:24">
      <c r="B8" s="157" t="s">
        <v>0</v>
      </c>
      <c r="F8" s="9"/>
      <c r="G8" s="9"/>
      <c r="H8" s="9"/>
      <c r="I8" s="9"/>
      <c r="J8" s="9"/>
      <c r="K8" s="9"/>
      <c r="L8" s="9"/>
      <c r="M8" s="9"/>
      <c r="N8" s="9"/>
      <c r="O8" s="9"/>
      <c r="P8" s="9"/>
      <c r="Q8" s="9"/>
      <c r="R8" s="9"/>
      <c r="S8" s="9"/>
      <c r="T8" s="9"/>
      <c r="U8" s="9"/>
      <c r="V8" s="9"/>
      <c r="W8" s="9"/>
      <c r="X8" s="9"/>
    </row>
    <row r="9" spans="2:24">
      <c r="B9" s="12"/>
      <c r="C9" s="12"/>
      <c r="D9" s="12"/>
      <c r="E9" s="12"/>
      <c r="F9" s="9"/>
      <c r="G9" s="9"/>
      <c r="H9" s="9"/>
      <c r="I9" s="9"/>
      <c r="J9" s="9"/>
      <c r="K9" s="9"/>
      <c r="L9" s="9"/>
      <c r="M9" s="9"/>
      <c r="O9" s="8" t="s">
        <v>16</v>
      </c>
      <c r="P9" s="8"/>
      <c r="Q9" s="8"/>
      <c r="R9" s="8"/>
      <c r="S9" s="8"/>
      <c r="T9" s="8"/>
      <c r="U9" s="9"/>
      <c r="V9" s="9"/>
      <c r="W9" s="9"/>
    </row>
    <row r="10" spans="2:24" s="87" customFormat="1">
      <c r="B10" s="1440" t="s">
        <v>26</v>
      </c>
      <c r="C10" s="1383" t="s">
        <v>1</v>
      </c>
      <c r="D10" s="1383" t="s">
        <v>624</v>
      </c>
      <c r="E10" s="1383" t="s">
        <v>625</v>
      </c>
      <c r="F10" s="1383" t="s">
        <v>6</v>
      </c>
      <c r="G10" s="1437" t="s">
        <v>2</v>
      </c>
      <c r="H10" s="1438"/>
      <c r="I10" s="1439"/>
      <c r="J10" s="1437" t="s">
        <v>13</v>
      </c>
      <c r="K10" s="1438"/>
      <c r="L10" s="1439"/>
      <c r="M10" s="1437" t="s">
        <v>626</v>
      </c>
      <c r="N10" s="1438"/>
      <c r="O10" s="1439"/>
    </row>
    <row r="11" spans="2:24" s="87" customFormat="1" ht="28.5">
      <c r="B11" s="1442"/>
      <c r="C11" s="1385"/>
      <c r="D11" s="1385"/>
      <c r="E11" s="1385"/>
      <c r="F11" s="1385"/>
      <c r="G11" s="1070" t="s">
        <v>17</v>
      </c>
      <c r="H11" s="1070" t="s">
        <v>14</v>
      </c>
      <c r="I11" s="345" t="s">
        <v>627</v>
      </c>
      <c r="J11" s="1070" t="s">
        <v>17</v>
      </c>
      <c r="K11" s="1070" t="s">
        <v>14</v>
      </c>
      <c r="L11" s="1070" t="s">
        <v>12</v>
      </c>
      <c r="M11" s="1070" t="s">
        <v>39</v>
      </c>
      <c r="N11" s="1071" t="s">
        <v>628</v>
      </c>
      <c r="O11" s="346" t="s">
        <v>40</v>
      </c>
    </row>
    <row r="12" spans="2:24" s="3" customFormat="1">
      <c r="B12" s="1108" t="s">
        <v>38</v>
      </c>
      <c r="C12" s="5"/>
      <c r="D12" s="5"/>
      <c r="E12" s="5"/>
      <c r="F12" s="5"/>
      <c r="G12" s="5"/>
      <c r="H12" s="5"/>
      <c r="I12" s="5"/>
      <c r="J12" s="5"/>
      <c r="K12" s="5"/>
      <c r="L12" s="5"/>
      <c r="M12" s="5"/>
      <c r="N12" s="5"/>
      <c r="O12" s="84"/>
    </row>
    <row r="13" spans="2:24" s="3" customFormat="1">
      <c r="B13" s="81" t="s">
        <v>33</v>
      </c>
      <c r="C13" s="5"/>
      <c r="D13" s="5"/>
      <c r="E13" s="5"/>
      <c r="F13" s="5"/>
      <c r="G13" s="5"/>
      <c r="H13" s="5"/>
      <c r="I13" s="5"/>
      <c r="J13" s="5"/>
      <c r="K13" s="5"/>
      <c r="L13" s="5"/>
      <c r="M13" s="5"/>
      <c r="N13" s="5"/>
      <c r="O13" s="84"/>
    </row>
    <row r="14" spans="2:24" s="1107" customFormat="1" ht="30">
      <c r="B14" s="1095" t="s">
        <v>1264</v>
      </c>
      <c r="C14" s="1091" t="s">
        <v>1264</v>
      </c>
      <c r="D14" s="1091" t="s">
        <v>1265</v>
      </c>
      <c r="E14" s="1091" t="s">
        <v>1266</v>
      </c>
      <c r="F14" s="1091" t="s">
        <v>1267</v>
      </c>
      <c r="G14" s="1091"/>
      <c r="H14" s="1091"/>
      <c r="I14" s="1104">
        <v>39448</v>
      </c>
      <c r="J14" s="1091"/>
      <c r="K14" s="1091"/>
      <c r="L14" s="1104">
        <v>42064</v>
      </c>
      <c r="M14" s="1091">
        <v>44.82</v>
      </c>
      <c r="N14" s="1105">
        <v>88.7</v>
      </c>
      <c r="O14" s="1106">
        <f>N14-M14</f>
        <v>43.88</v>
      </c>
    </row>
    <row r="15" spans="2:24" s="3" customFormat="1">
      <c r="B15" s="5" t="s">
        <v>34</v>
      </c>
      <c r="C15" s="5"/>
      <c r="D15" s="5"/>
      <c r="E15" s="5"/>
      <c r="F15" s="5"/>
      <c r="G15" s="5"/>
      <c r="H15" s="5"/>
      <c r="I15" s="5"/>
      <c r="J15" s="5"/>
      <c r="K15" s="5"/>
      <c r="L15" s="5"/>
      <c r="M15" s="5"/>
      <c r="N15" s="5"/>
      <c r="O15" s="84"/>
    </row>
    <row r="16" spans="2:24" s="3" customFormat="1">
      <c r="B16" s="4" t="s">
        <v>1268</v>
      </c>
      <c r="C16" s="4"/>
      <c r="D16" s="4"/>
      <c r="E16" s="4"/>
      <c r="F16" s="4" t="s">
        <v>1269</v>
      </c>
      <c r="G16" s="1092">
        <v>42095</v>
      </c>
      <c r="H16" s="5"/>
      <c r="I16" s="1092">
        <v>42095</v>
      </c>
      <c r="J16" s="1092">
        <v>42430</v>
      </c>
      <c r="K16" s="4"/>
      <c r="L16" s="1092">
        <v>42430</v>
      </c>
      <c r="M16" s="1418"/>
      <c r="N16" s="1453">
        <f>78373061/10^7</f>
        <v>7.8373061000000002</v>
      </c>
      <c r="O16" s="1418"/>
    </row>
    <row r="17" spans="2:15" s="3" customFormat="1">
      <c r="B17" s="4" t="s">
        <v>946</v>
      </c>
      <c r="C17" s="4"/>
      <c r="D17" s="4"/>
      <c r="E17" s="4"/>
      <c r="F17" s="4" t="s">
        <v>1269</v>
      </c>
      <c r="G17" s="1092">
        <v>42095</v>
      </c>
      <c r="H17" s="5"/>
      <c r="I17" s="1092">
        <v>42095</v>
      </c>
      <c r="J17" s="1092">
        <v>42430</v>
      </c>
      <c r="K17" s="4"/>
      <c r="L17" s="1092">
        <v>42430</v>
      </c>
      <c r="M17" s="1419"/>
      <c r="N17" s="1454"/>
      <c r="O17" s="1419"/>
    </row>
    <row r="18" spans="2:15" s="3" customFormat="1">
      <c r="B18" s="4" t="s">
        <v>1270</v>
      </c>
      <c r="C18" s="4"/>
      <c r="D18" s="4"/>
      <c r="E18" s="4"/>
      <c r="F18" s="4" t="s">
        <v>1269</v>
      </c>
      <c r="G18" s="1092">
        <v>42095</v>
      </c>
      <c r="H18" s="5"/>
      <c r="I18" s="1092">
        <v>42095</v>
      </c>
      <c r="J18" s="1092">
        <v>42430</v>
      </c>
      <c r="K18" s="4"/>
      <c r="L18" s="1092">
        <v>42430</v>
      </c>
      <c r="M18" s="1420"/>
      <c r="N18" s="1455"/>
      <c r="O18" s="1420"/>
    </row>
    <row r="19" spans="2:15" s="3" customFormat="1">
      <c r="B19" s="1206" t="s">
        <v>115</v>
      </c>
      <c r="C19" s="1207"/>
      <c r="D19" s="1207"/>
      <c r="E19" s="1207"/>
      <c r="F19" s="1207"/>
      <c r="G19" s="1208"/>
      <c r="H19" s="1206"/>
      <c r="I19" s="1208"/>
      <c r="J19" s="1208"/>
      <c r="K19" s="1207"/>
      <c r="L19" s="1208"/>
      <c r="M19" s="1209"/>
      <c r="N19" s="1210">
        <f>+N16</f>
        <v>7.8373061000000002</v>
      </c>
      <c r="O19" s="1209"/>
    </row>
    <row r="20" spans="2:15" s="3" customFormat="1">
      <c r="B20" s="4"/>
      <c r="C20" s="4"/>
      <c r="D20" s="4"/>
      <c r="E20" s="4"/>
      <c r="F20" s="4"/>
      <c r="G20" s="4"/>
      <c r="H20" s="4"/>
      <c r="I20" s="4"/>
      <c r="J20" s="4"/>
      <c r="K20" s="4"/>
      <c r="L20" s="4"/>
      <c r="M20" s="4"/>
      <c r="N20" s="4"/>
      <c r="O20" s="82"/>
    </row>
    <row r="21" spans="2:15" s="3" customFormat="1">
      <c r="B21" s="81" t="s">
        <v>146</v>
      </c>
      <c r="C21" s="4"/>
      <c r="D21" s="4"/>
      <c r="E21" s="4"/>
      <c r="F21" s="4"/>
      <c r="G21" s="4"/>
      <c r="H21" s="4"/>
      <c r="I21" s="4"/>
      <c r="J21" s="4"/>
      <c r="K21" s="4"/>
      <c r="L21" s="4"/>
      <c r="M21" s="4"/>
      <c r="N21" s="4"/>
      <c r="O21" s="82"/>
    </row>
    <row r="22" spans="2:15" s="3" customFormat="1">
      <c r="B22" s="81" t="s">
        <v>33</v>
      </c>
      <c r="C22" s="4"/>
      <c r="D22" s="4"/>
      <c r="E22" s="4"/>
      <c r="F22" s="4"/>
      <c r="G22" s="4"/>
      <c r="H22" s="4"/>
      <c r="I22" s="4"/>
      <c r="J22" s="4"/>
      <c r="K22" s="4"/>
      <c r="L22" s="4"/>
      <c r="M22" s="4"/>
      <c r="N22" s="4"/>
      <c r="O22" s="82"/>
    </row>
    <row r="23" spans="2:15" s="3" customFormat="1">
      <c r="B23" s="4" t="s">
        <v>1271</v>
      </c>
      <c r="C23" s="4"/>
      <c r="D23" s="4"/>
      <c r="E23" s="4"/>
      <c r="F23" s="4"/>
      <c r="G23" s="4"/>
      <c r="H23" s="4"/>
      <c r="I23" s="4"/>
      <c r="J23" s="4"/>
      <c r="K23" s="4"/>
      <c r="L23" s="4"/>
      <c r="M23" s="4"/>
      <c r="N23" s="4"/>
      <c r="O23" s="82"/>
    </row>
    <row r="24" spans="2:15" s="3" customFormat="1">
      <c r="B24" s="4"/>
      <c r="C24" s="4"/>
      <c r="D24" s="4"/>
      <c r="E24" s="4"/>
      <c r="F24" s="4"/>
      <c r="G24" s="4"/>
      <c r="H24" s="4"/>
      <c r="I24" s="4"/>
      <c r="J24" s="4"/>
      <c r="K24" s="4"/>
      <c r="L24" s="4"/>
      <c r="M24" s="4"/>
      <c r="N24" s="4"/>
      <c r="O24" s="82"/>
    </row>
    <row r="25" spans="2:15" s="3" customFormat="1">
      <c r="B25" s="5" t="s">
        <v>34</v>
      </c>
      <c r="C25" s="4"/>
      <c r="D25" s="4"/>
      <c r="E25" s="4"/>
      <c r="F25" s="4"/>
      <c r="G25" s="4"/>
      <c r="H25" s="4"/>
      <c r="I25" s="4"/>
      <c r="J25" s="4"/>
      <c r="K25" s="4"/>
      <c r="L25" s="4"/>
      <c r="M25" s="4"/>
      <c r="N25" s="4"/>
      <c r="O25" s="82"/>
    </row>
    <row r="26" spans="2:15" s="3" customFormat="1" ht="16.5">
      <c r="B26" s="1093" t="s">
        <v>1272</v>
      </c>
      <c r="C26" s="4"/>
      <c r="D26" s="4"/>
      <c r="E26" s="4"/>
      <c r="F26" s="4" t="s">
        <v>1273</v>
      </c>
      <c r="G26" s="1092">
        <v>42476</v>
      </c>
      <c r="H26" s="4"/>
      <c r="I26" s="1092">
        <v>42476</v>
      </c>
      <c r="J26" s="1092">
        <v>42795</v>
      </c>
      <c r="K26" s="4"/>
      <c r="L26" s="1092">
        <v>42795</v>
      </c>
      <c r="M26" s="4"/>
      <c r="N26" s="531">
        <v>0.12883500000000001</v>
      </c>
      <c r="O26" s="82"/>
    </row>
    <row r="27" spans="2:15" s="3" customFormat="1" ht="17.25" customHeight="1">
      <c r="B27" s="1093" t="s">
        <v>1274</v>
      </c>
      <c r="C27" s="4"/>
      <c r="D27" s="4"/>
      <c r="E27" s="4"/>
      <c r="F27" s="4" t="s">
        <v>1275</v>
      </c>
      <c r="G27" s="1092">
        <v>42476</v>
      </c>
      <c r="H27" s="4"/>
      <c r="I27" s="1092">
        <v>42476</v>
      </c>
      <c r="J27" s="1092">
        <v>42795</v>
      </c>
      <c r="K27" s="4"/>
      <c r="L27" s="1092">
        <v>42795</v>
      </c>
      <c r="M27" s="4"/>
      <c r="N27" s="531">
        <v>0.28561310000000001</v>
      </c>
      <c r="O27" s="82"/>
    </row>
    <row r="28" spans="2:15" s="3" customFormat="1" ht="17.25" customHeight="1">
      <c r="B28" s="1093" t="s">
        <v>1276</v>
      </c>
      <c r="C28" s="4"/>
      <c r="D28" s="4"/>
      <c r="E28" s="4"/>
      <c r="F28" s="4" t="s">
        <v>1277</v>
      </c>
      <c r="G28" s="1092">
        <v>42476</v>
      </c>
      <c r="H28" s="4"/>
      <c r="I28" s="1092">
        <v>42476</v>
      </c>
      <c r="J28" s="1092">
        <v>42795</v>
      </c>
      <c r="K28" s="4"/>
      <c r="L28" s="1092">
        <v>42795</v>
      </c>
      <c r="M28" s="4"/>
      <c r="N28" s="531">
        <v>3.4765E-3</v>
      </c>
      <c r="O28" s="82"/>
    </row>
    <row r="29" spans="2:15" s="3" customFormat="1" ht="17.25" customHeight="1">
      <c r="B29" s="1093" t="s">
        <v>1278</v>
      </c>
      <c r="C29" s="4"/>
      <c r="D29" s="4"/>
      <c r="E29" s="4"/>
      <c r="F29" s="4" t="s">
        <v>1279</v>
      </c>
      <c r="G29" s="1092">
        <v>42476</v>
      </c>
      <c r="H29" s="4"/>
      <c r="I29" s="1092">
        <v>42476</v>
      </c>
      <c r="J29" s="1092">
        <v>42795</v>
      </c>
      <c r="K29" s="4"/>
      <c r="L29" s="1092">
        <v>42795</v>
      </c>
      <c r="M29" s="4"/>
      <c r="N29" s="531">
        <v>6.4687499999999995E-2</v>
      </c>
      <c r="O29" s="82"/>
    </row>
    <row r="30" spans="2:15" s="3" customFormat="1" ht="17.25" customHeight="1">
      <c r="B30" s="1093" t="s">
        <v>1280</v>
      </c>
      <c r="C30" s="4"/>
      <c r="D30" s="4"/>
      <c r="E30" s="4"/>
      <c r="F30" s="4" t="s">
        <v>1281</v>
      </c>
      <c r="G30" s="1092">
        <v>42476</v>
      </c>
      <c r="H30" s="4"/>
      <c r="I30" s="1092">
        <v>42476</v>
      </c>
      <c r="J30" s="1092">
        <v>42795</v>
      </c>
      <c r="K30" s="4"/>
      <c r="L30" s="1092">
        <v>42795</v>
      </c>
      <c r="M30" s="4"/>
      <c r="N30" s="531">
        <v>6.5005300000000002E-2</v>
      </c>
      <c r="O30" s="82"/>
    </row>
    <row r="31" spans="2:15" s="3" customFormat="1" ht="17.25" customHeight="1">
      <c r="B31" s="1206" t="s">
        <v>115</v>
      </c>
      <c r="C31" s="1207"/>
      <c r="D31" s="1207"/>
      <c r="E31" s="1207"/>
      <c r="F31" s="1207"/>
      <c r="G31" s="1208"/>
      <c r="H31" s="1207"/>
      <c r="I31" s="1208"/>
      <c r="J31" s="1208"/>
      <c r="K31" s="1207"/>
      <c r="L31" s="1208"/>
      <c r="M31" s="1207"/>
      <c r="N31" s="1211">
        <f>SUM(N26:N30)</f>
        <v>0.54761740000000003</v>
      </c>
      <c r="O31" s="1212"/>
    </row>
    <row r="32" spans="2:15" s="3" customFormat="1">
      <c r="B32" s="85"/>
      <c r="C32" s="85"/>
      <c r="D32" s="4"/>
      <c r="E32" s="4"/>
      <c r="F32" s="4"/>
      <c r="G32" s="1092"/>
      <c r="H32" s="4"/>
      <c r="I32" s="4"/>
      <c r="J32" s="1092"/>
      <c r="K32" s="4"/>
      <c r="L32" s="4"/>
      <c r="M32" s="4"/>
      <c r="O32" s="82"/>
    </row>
    <row r="33" spans="2:15" s="3" customFormat="1">
      <c r="B33" s="81" t="s">
        <v>147</v>
      </c>
      <c r="C33" s="4"/>
      <c r="D33" s="4"/>
      <c r="E33" s="4"/>
      <c r="F33" s="4"/>
      <c r="G33" s="4"/>
      <c r="H33" s="4"/>
      <c r="I33" s="4"/>
      <c r="J33" s="4"/>
      <c r="K33" s="4"/>
      <c r="L33" s="4"/>
      <c r="M33" s="4"/>
      <c r="N33" s="4"/>
      <c r="O33" s="82"/>
    </row>
    <row r="34" spans="2:15" s="3" customFormat="1">
      <c r="B34" s="81" t="s">
        <v>33</v>
      </c>
      <c r="C34" s="4"/>
      <c r="D34" s="4"/>
      <c r="E34" s="4"/>
      <c r="F34" s="4"/>
      <c r="G34" s="4"/>
      <c r="H34" s="4"/>
      <c r="I34" s="4"/>
      <c r="J34" s="4"/>
      <c r="K34" s="4"/>
      <c r="L34" s="4"/>
      <c r="M34" s="4"/>
      <c r="N34" s="4"/>
      <c r="O34" s="82"/>
    </row>
    <row r="35" spans="2:15" s="3" customFormat="1">
      <c r="B35" s="4" t="s">
        <v>1271</v>
      </c>
      <c r="C35" s="4"/>
      <c r="D35" s="4"/>
      <c r="E35" s="4"/>
      <c r="F35" s="4"/>
      <c r="G35" s="4"/>
      <c r="H35" s="4"/>
      <c r="I35" s="4"/>
      <c r="J35" s="4"/>
      <c r="K35" s="4"/>
      <c r="L35" s="4"/>
      <c r="M35" s="4"/>
      <c r="N35" s="4"/>
      <c r="O35" s="82"/>
    </row>
    <row r="36" spans="2:15" s="3" customFormat="1">
      <c r="B36" s="4"/>
      <c r="C36" s="4"/>
      <c r="D36" s="4"/>
      <c r="E36" s="4"/>
      <c r="F36" s="4"/>
      <c r="G36" s="4"/>
      <c r="H36" s="4"/>
      <c r="I36" s="4"/>
      <c r="J36" s="4"/>
      <c r="K36" s="4"/>
      <c r="L36" s="4"/>
      <c r="M36" s="4"/>
      <c r="N36" s="4"/>
      <c r="O36" s="82"/>
    </row>
    <row r="37" spans="2:15" s="3" customFormat="1">
      <c r="B37" s="5" t="s">
        <v>34</v>
      </c>
      <c r="C37" s="4"/>
      <c r="D37" s="4"/>
      <c r="E37" s="4"/>
      <c r="F37" s="4" t="s">
        <v>1282</v>
      </c>
      <c r="G37" s="1092">
        <v>42841</v>
      </c>
      <c r="H37" s="4"/>
      <c r="I37" s="1092"/>
      <c r="J37" s="1092">
        <v>43160</v>
      </c>
      <c r="K37" s="4"/>
      <c r="L37" s="1092"/>
      <c r="M37" s="4"/>
      <c r="N37" s="4">
        <v>0.42</v>
      </c>
      <c r="O37" s="82"/>
    </row>
    <row r="38" spans="2:15" s="3" customFormat="1">
      <c r="B38" s="1206" t="s">
        <v>115</v>
      </c>
      <c r="C38" s="1207"/>
      <c r="D38" s="1207"/>
      <c r="E38" s="1207"/>
      <c r="F38" s="1207"/>
      <c r="G38" s="1208"/>
      <c r="H38" s="1207"/>
      <c r="I38" s="1208"/>
      <c r="J38" s="1208"/>
      <c r="K38" s="1207"/>
      <c r="L38" s="1208"/>
      <c r="M38" s="1207"/>
      <c r="N38" s="1206">
        <f>+N37</f>
        <v>0.42</v>
      </c>
      <c r="O38" s="1212"/>
    </row>
    <row r="39" spans="2:15" s="3" customFormat="1">
      <c r="B39" s="5"/>
      <c r="C39" s="4"/>
      <c r="D39" s="4"/>
      <c r="E39" s="4"/>
      <c r="F39" s="4"/>
      <c r="G39" s="4"/>
      <c r="H39" s="4"/>
      <c r="I39" s="4"/>
      <c r="J39" s="4"/>
      <c r="K39" s="4"/>
      <c r="L39" s="4"/>
      <c r="M39" s="4"/>
      <c r="N39" s="4"/>
      <c r="O39" s="82"/>
    </row>
    <row r="40" spans="2:15" s="3" customFormat="1">
      <c r="B40" s="81" t="s">
        <v>148</v>
      </c>
      <c r="C40" s="4"/>
      <c r="D40" s="4"/>
      <c r="E40" s="4"/>
      <c r="F40" s="4"/>
      <c r="G40" s="4"/>
      <c r="H40" s="4"/>
      <c r="I40" s="4"/>
      <c r="J40" s="4"/>
      <c r="K40" s="4"/>
      <c r="L40" s="4"/>
      <c r="M40" s="4"/>
      <c r="N40" s="4"/>
      <c r="O40" s="82"/>
    </row>
    <row r="41" spans="2:15" s="3" customFormat="1">
      <c r="B41" s="81" t="s">
        <v>33</v>
      </c>
      <c r="C41" s="4"/>
      <c r="D41" s="4"/>
      <c r="E41" s="4"/>
      <c r="F41" s="4"/>
      <c r="G41" s="4"/>
      <c r="H41" s="4"/>
      <c r="I41" s="4"/>
      <c r="J41" s="4"/>
      <c r="K41" s="4"/>
      <c r="L41" s="4"/>
      <c r="M41" s="4"/>
      <c r="N41" s="4"/>
      <c r="O41" s="82"/>
    </row>
    <row r="42" spans="2:15" s="3" customFormat="1">
      <c r="B42" s="4" t="s">
        <v>1271</v>
      </c>
      <c r="C42" s="4"/>
      <c r="D42" s="4"/>
      <c r="E42" s="4"/>
      <c r="F42" s="4"/>
      <c r="G42" s="4"/>
      <c r="H42" s="4"/>
      <c r="I42" s="4"/>
      <c r="J42" s="4"/>
      <c r="K42" s="4"/>
      <c r="L42" s="4"/>
      <c r="M42" s="4"/>
      <c r="N42" s="4"/>
      <c r="O42" s="82"/>
    </row>
    <row r="43" spans="2:15" s="3" customFormat="1">
      <c r="B43" s="4"/>
      <c r="C43" s="4"/>
      <c r="D43" s="4"/>
      <c r="E43" s="4"/>
      <c r="F43" s="4"/>
      <c r="G43" s="4"/>
      <c r="H43" s="4"/>
      <c r="I43" s="4"/>
      <c r="J43" s="4"/>
      <c r="K43" s="4"/>
      <c r="L43" s="4"/>
      <c r="M43" s="4"/>
      <c r="N43" s="4"/>
      <c r="O43" s="82"/>
    </row>
    <row r="44" spans="2:15" s="3" customFormat="1">
      <c r="B44" s="5" t="s">
        <v>34</v>
      </c>
      <c r="C44" s="4"/>
      <c r="D44" s="4"/>
      <c r="E44" s="4"/>
      <c r="F44" s="4"/>
      <c r="G44" s="4"/>
      <c r="H44" s="4"/>
      <c r="I44" s="4"/>
      <c r="J44" s="4"/>
      <c r="K44" s="4"/>
      <c r="L44" s="4"/>
      <c r="M44" s="4"/>
      <c r="N44" s="4"/>
      <c r="O44" s="82"/>
    </row>
    <row r="45" spans="2:15" s="3" customFormat="1">
      <c r="B45" s="4" t="s">
        <v>1283</v>
      </c>
      <c r="C45" s="4"/>
      <c r="D45" s="4"/>
      <c r="E45" s="4"/>
      <c r="F45" s="4" t="s">
        <v>1284</v>
      </c>
      <c r="G45" s="1092">
        <v>43206</v>
      </c>
      <c r="H45" s="4"/>
      <c r="I45" s="4"/>
      <c r="J45" s="1092">
        <v>43525</v>
      </c>
      <c r="K45" s="4"/>
      <c r="L45" s="4"/>
      <c r="M45" s="4"/>
      <c r="N45" s="531">
        <f>9000000/10^7</f>
        <v>0.9</v>
      </c>
      <c r="O45" s="82"/>
    </row>
    <row r="46" spans="2:15" s="3" customFormat="1">
      <c r="B46" s="1206" t="s">
        <v>115</v>
      </c>
      <c r="C46" s="1207"/>
      <c r="D46" s="1207"/>
      <c r="E46" s="1207"/>
      <c r="F46" s="1207"/>
      <c r="G46" s="1208"/>
      <c r="H46" s="1207"/>
      <c r="I46" s="1208"/>
      <c r="J46" s="1208"/>
      <c r="K46" s="1207"/>
      <c r="L46" s="1208"/>
      <c r="M46" s="1207"/>
      <c r="N46" s="1206">
        <f>+N45</f>
        <v>0.9</v>
      </c>
      <c r="O46" s="1212"/>
    </row>
    <row r="47" spans="2:15" s="3" customFormat="1">
      <c r="B47" s="1205"/>
      <c r="C47" s="4"/>
      <c r="D47" s="4"/>
      <c r="E47" s="4"/>
      <c r="F47" s="4"/>
      <c r="G47" s="1092"/>
      <c r="H47" s="4"/>
      <c r="I47" s="1092"/>
      <c r="J47" s="1092"/>
      <c r="K47" s="4"/>
      <c r="L47" s="1092"/>
      <c r="M47" s="4"/>
      <c r="N47" s="5"/>
      <c r="O47" s="82"/>
    </row>
    <row r="48" spans="2:15" s="3" customFormat="1">
      <c r="B48" s="81" t="s">
        <v>149</v>
      </c>
      <c r="C48" s="4"/>
      <c r="D48" s="4"/>
      <c r="E48" s="4"/>
      <c r="F48" s="4"/>
      <c r="G48" s="4"/>
      <c r="H48" s="4"/>
      <c r="I48" s="4"/>
      <c r="J48" s="4"/>
      <c r="K48" s="4"/>
      <c r="L48" s="4"/>
      <c r="M48" s="4"/>
      <c r="N48" s="4"/>
      <c r="O48" s="82"/>
    </row>
    <row r="49" spans="2:24" s="3" customFormat="1">
      <c r="B49" s="81" t="s">
        <v>33</v>
      </c>
      <c r="C49" s="4"/>
      <c r="D49" s="4"/>
      <c r="E49" s="4"/>
      <c r="F49" s="4"/>
      <c r="G49" s="4"/>
      <c r="H49" s="4"/>
      <c r="I49" s="4"/>
      <c r="J49" s="4"/>
      <c r="K49" s="4"/>
      <c r="L49" s="4"/>
      <c r="M49" s="4"/>
      <c r="N49" s="4"/>
      <c r="O49" s="82"/>
    </row>
    <row r="50" spans="2:24" s="3" customFormat="1">
      <c r="B50" s="4" t="s">
        <v>1271</v>
      </c>
      <c r="C50" s="4"/>
      <c r="D50" s="4"/>
      <c r="E50" s="4"/>
      <c r="F50" s="4"/>
      <c r="G50" s="4"/>
      <c r="H50" s="4"/>
      <c r="I50" s="4"/>
      <c r="J50" s="4"/>
      <c r="K50" s="4"/>
      <c r="L50" s="4"/>
      <c r="M50" s="4"/>
      <c r="N50" s="4"/>
      <c r="O50" s="82"/>
    </row>
    <row r="51" spans="2:24" s="3" customFormat="1">
      <c r="B51" s="4"/>
      <c r="C51" s="4"/>
      <c r="D51" s="4"/>
      <c r="E51" s="4"/>
      <c r="F51" s="4"/>
      <c r="G51" s="4"/>
      <c r="H51" s="4"/>
      <c r="I51" s="4"/>
      <c r="J51" s="4"/>
      <c r="K51" s="4"/>
      <c r="L51" s="4"/>
      <c r="M51" s="4"/>
      <c r="N51" s="4"/>
      <c r="O51" s="82"/>
    </row>
    <row r="52" spans="2:24" s="3" customFormat="1">
      <c r="B52" s="5" t="s">
        <v>34</v>
      </c>
      <c r="C52" s="4"/>
      <c r="D52" s="4"/>
      <c r="E52" s="4"/>
      <c r="F52" s="4"/>
      <c r="G52" s="4"/>
      <c r="H52" s="4"/>
      <c r="I52" s="4"/>
      <c r="J52" s="4"/>
      <c r="K52" s="4"/>
      <c r="L52" s="4"/>
      <c r="M52" s="4"/>
      <c r="N52" s="4"/>
      <c r="O52" s="82"/>
    </row>
    <row r="53" spans="2:24" s="3" customFormat="1">
      <c r="B53" s="4" t="s">
        <v>1285</v>
      </c>
      <c r="C53" s="4"/>
      <c r="D53" s="4"/>
      <c r="E53" s="4"/>
      <c r="F53" s="4" t="s">
        <v>1284</v>
      </c>
      <c r="G53" s="1092">
        <v>43571</v>
      </c>
      <c r="H53" s="4"/>
      <c r="I53" s="4"/>
      <c r="J53" s="1092">
        <v>43891</v>
      </c>
      <c r="K53" s="4"/>
      <c r="L53" s="4"/>
      <c r="M53" s="4"/>
      <c r="N53" s="531">
        <f>9000000/10^7</f>
        <v>0.9</v>
      </c>
      <c r="O53" s="82"/>
    </row>
    <row r="54" spans="2:24" s="3" customFormat="1">
      <c r="B54" s="1206" t="s">
        <v>115</v>
      </c>
      <c r="C54" s="1207"/>
      <c r="D54" s="1207"/>
      <c r="E54" s="1207"/>
      <c r="F54" s="1207"/>
      <c r="G54" s="1208"/>
      <c r="H54" s="1207"/>
      <c r="I54" s="1208"/>
      <c r="J54" s="1208"/>
      <c r="K54" s="1207"/>
      <c r="L54" s="1208"/>
      <c r="M54" s="1207"/>
      <c r="N54" s="1206">
        <f>+N53</f>
        <v>0.9</v>
      </c>
      <c r="O54" s="1212"/>
    </row>
    <row r="56" spans="2:24">
      <c r="N56" s="13"/>
    </row>
    <row r="57" spans="2:24">
      <c r="B57" s="1076"/>
      <c r="C57" s="1076"/>
      <c r="D57" s="1076"/>
      <c r="E57" s="1076"/>
      <c r="F57" s="1076"/>
      <c r="G57" s="1076"/>
      <c r="H57" s="1076"/>
      <c r="I57" s="1076"/>
      <c r="J57" s="1076"/>
      <c r="K57" s="1076"/>
      <c r="L57" s="1073"/>
      <c r="M57" s="1073"/>
      <c r="N57" s="1073"/>
      <c r="O57" s="1073"/>
      <c r="P57" s="1073"/>
      <c r="Q57" s="189"/>
      <c r="R57" s="189"/>
      <c r="S57" s="189"/>
      <c r="T57" s="189"/>
      <c r="U57" s="9"/>
      <c r="V57" s="9"/>
      <c r="W57" s="9"/>
      <c r="X57" s="9"/>
    </row>
    <row r="58" spans="2:24">
      <c r="B58" s="216" t="s">
        <v>15</v>
      </c>
    </row>
    <row r="59" spans="2:24">
      <c r="K59" s="8" t="s">
        <v>16</v>
      </c>
      <c r="N59" s="155"/>
    </row>
    <row r="60" spans="2:24">
      <c r="B60" s="1440" t="s">
        <v>7</v>
      </c>
      <c r="C60" s="1376" t="s">
        <v>629</v>
      </c>
      <c r="D60" s="1376"/>
      <c r="E60" s="1376"/>
      <c r="F60" s="1376"/>
      <c r="G60" s="1376"/>
      <c r="H60" s="1376"/>
      <c r="I60" s="1376"/>
      <c r="J60" s="1376"/>
      <c r="K60" s="1376"/>
      <c r="L60" s="6"/>
      <c r="M60" s="6"/>
    </row>
    <row r="61" spans="2:24">
      <c r="B61" s="1441"/>
      <c r="C61" s="1383" t="s">
        <v>624</v>
      </c>
      <c r="D61" s="1383" t="s">
        <v>625</v>
      </c>
      <c r="E61" s="1383" t="s">
        <v>20</v>
      </c>
      <c r="F61" s="1383" t="s">
        <v>8</v>
      </c>
      <c r="G61" s="1376" t="s">
        <v>9</v>
      </c>
      <c r="H61" s="1443"/>
      <c r="I61" s="1443"/>
      <c r="J61" s="1443"/>
      <c r="K61" s="1443"/>
      <c r="L61" s="217"/>
      <c r="M61" s="217"/>
    </row>
    <row r="62" spans="2:24" ht="28.5">
      <c r="B62" s="1442"/>
      <c r="C62" s="1385"/>
      <c r="D62" s="1385"/>
      <c r="E62" s="1385"/>
      <c r="F62" s="1385"/>
      <c r="G62" s="1071" t="s">
        <v>3</v>
      </c>
      <c r="H62" s="1071" t="s">
        <v>21</v>
      </c>
      <c r="I62" s="1071" t="s">
        <v>18</v>
      </c>
      <c r="J62" s="1071" t="s">
        <v>19</v>
      </c>
      <c r="K62" s="1071" t="s">
        <v>4</v>
      </c>
    </row>
    <row r="63" spans="2:24" s="3" customFormat="1">
      <c r="B63" s="5" t="s">
        <v>38</v>
      </c>
      <c r="C63" s="4"/>
      <c r="D63" s="4"/>
      <c r="E63" s="4"/>
      <c r="F63" s="4"/>
      <c r="G63" s="4"/>
      <c r="H63" s="4"/>
      <c r="I63" s="4"/>
      <c r="J63" s="4"/>
      <c r="K63" s="4"/>
    </row>
    <row r="64" spans="2:24" s="3" customFormat="1">
      <c r="B64" s="81" t="s">
        <v>33</v>
      </c>
      <c r="C64" s="4"/>
      <c r="D64" s="4"/>
      <c r="E64" s="4"/>
      <c r="F64" s="4"/>
      <c r="G64" s="4"/>
      <c r="H64" s="4"/>
      <c r="I64" s="4"/>
      <c r="J64" s="4"/>
      <c r="K64" s="4"/>
    </row>
    <row r="65" spans="2:12" s="3" customFormat="1" ht="30">
      <c r="B65" s="85" t="s">
        <v>1264</v>
      </c>
      <c r="C65" s="1095" t="s">
        <v>1265</v>
      </c>
      <c r="D65" s="1095" t="s">
        <v>1266</v>
      </c>
      <c r="E65" s="1096">
        <f>L65*30%</f>
        <v>25.974</v>
      </c>
      <c r="F65" s="4"/>
      <c r="G65" s="1096">
        <f>L65-E65</f>
        <v>60.605999999999995</v>
      </c>
      <c r="H65" s="1097">
        <v>0.109</v>
      </c>
      <c r="I65" s="1092"/>
      <c r="J65" s="4"/>
      <c r="K65" s="4" t="s">
        <v>1286</v>
      </c>
      <c r="L65" s="1098">
        <f>86.58</f>
        <v>86.58</v>
      </c>
    </row>
    <row r="66" spans="2:12" s="3" customFormat="1">
      <c r="B66" s="5" t="s">
        <v>34</v>
      </c>
      <c r="C66" s="4"/>
      <c r="D66" s="4"/>
      <c r="E66" s="1444">
        <f>L66*30%</f>
        <v>2.3511918299999999</v>
      </c>
      <c r="F66" s="4"/>
      <c r="G66" s="1447">
        <f>L66-E66</f>
        <v>5.4861142699999998</v>
      </c>
      <c r="H66" s="1450">
        <v>0.109</v>
      </c>
      <c r="I66" s="4"/>
      <c r="J66" s="4"/>
      <c r="K66" s="1418" t="s">
        <v>1286</v>
      </c>
      <c r="L66" s="1453">
        <f>78373061/10^7</f>
        <v>7.8373061000000002</v>
      </c>
    </row>
    <row r="67" spans="2:12" s="3" customFormat="1">
      <c r="B67" s="4" t="s">
        <v>1268</v>
      </c>
      <c r="C67" s="4"/>
      <c r="D67" s="4"/>
      <c r="E67" s="1445"/>
      <c r="F67" s="4"/>
      <c r="G67" s="1448"/>
      <c r="H67" s="1451"/>
      <c r="I67" s="4"/>
      <c r="J67" s="4"/>
      <c r="K67" s="1419"/>
      <c r="L67" s="1454"/>
    </row>
    <row r="68" spans="2:12" s="3" customFormat="1">
      <c r="B68" s="4" t="s">
        <v>946</v>
      </c>
      <c r="C68" s="4"/>
      <c r="D68" s="4"/>
      <c r="E68" s="1446"/>
      <c r="F68" s="4"/>
      <c r="G68" s="1449"/>
      <c r="H68" s="1452"/>
      <c r="I68" s="4"/>
      <c r="J68" s="4"/>
      <c r="K68" s="1420"/>
      <c r="L68" s="1455"/>
    </row>
    <row r="69" spans="2:12" s="3" customFormat="1">
      <c r="B69" s="4" t="s">
        <v>1270</v>
      </c>
      <c r="C69" s="4"/>
      <c r="D69" s="4"/>
      <c r="E69" s="4"/>
      <c r="F69" s="4"/>
      <c r="G69" s="4"/>
      <c r="H69" s="4"/>
      <c r="I69" s="4"/>
      <c r="J69" s="4"/>
      <c r="K69" s="4"/>
    </row>
    <row r="70" spans="2:12" s="3" customFormat="1">
      <c r="B70" s="4"/>
      <c r="C70" s="4"/>
      <c r="D70" s="4"/>
      <c r="E70" s="4"/>
      <c r="F70" s="4"/>
      <c r="G70" s="4"/>
      <c r="H70" s="4"/>
      <c r="I70" s="4"/>
      <c r="J70" s="4"/>
      <c r="K70" s="4"/>
    </row>
    <row r="71" spans="2:12" s="3" customFormat="1">
      <c r="B71" s="81" t="s">
        <v>146</v>
      </c>
      <c r="C71" s="4"/>
      <c r="D71" s="4"/>
      <c r="E71" s="4"/>
      <c r="F71" s="4"/>
      <c r="G71" s="4"/>
      <c r="H71" s="4"/>
      <c r="I71" s="4"/>
      <c r="J71" s="4"/>
      <c r="K71" s="4"/>
    </row>
    <row r="72" spans="2:12" s="3" customFormat="1">
      <c r="B72" s="81" t="s">
        <v>33</v>
      </c>
      <c r="C72" s="4"/>
      <c r="D72" s="4"/>
      <c r="E72" s="4"/>
      <c r="F72" s="4"/>
      <c r="G72" s="4"/>
      <c r="H72" s="4"/>
      <c r="I72" s="4"/>
      <c r="J72" s="4"/>
      <c r="K72" s="4"/>
    </row>
    <row r="73" spans="2:12" s="3" customFormat="1">
      <c r="B73" s="4" t="s">
        <v>1271</v>
      </c>
      <c r="C73" s="4"/>
      <c r="D73" s="4"/>
      <c r="E73" s="4"/>
      <c r="F73" s="4"/>
      <c r="G73" s="4"/>
      <c r="H73" s="4"/>
      <c r="I73" s="4"/>
      <c r="J73" s="4"/>
      <c r="K73" s="4"/>
    </row>
    <row r="74" spans="2:12" s="3" customFormat="1">
      <c r="B74" s="4"/>
      <c r="C74" s="4"/>
      <c r="D74" s="4"/>
      <c r="E74" s="4"/>
      <c r="F74" s="4"/>
      <c r="G74" s="4"/>
      <c r="H74" s="4"/>
      <c r="I74" s="4"/>
      <c r="J74" s="4"/>
      <c r="K74" s="4"/>
    </row>
    <row r="75" spans="2:12" s="3" customFormat="1">
      <c r="B75" s="5" t="s">
        <v>34</v>
      </c>
      <c r="C75" s="4"/>
      <c r="D75" s="4"/>
      <c r="E75" s="4"/>
      <c r="F75" s="4"/>
      <c r="G75" s="4"/>
      <c r="H75" s="4"/>
      <c r="I75" s="4"/>
      <c r="J75" s="4"/>
      <c r="K75" s="4"/>
    </row>
    <row r="76" spans="2:12" s="3" customFormat="1" ht="16.5">
      <c r="B76" s="1093" t="s">
        <v>1272</v>
      </c>
      <c r="C76" s="4"/>
      <c r="D76" s="4"/>
      <c r="E76" s="1096">
        <v>3.8650499999999997E-2</v>
      </c>
      <c r="F76" s="4"/>
      <c r="G76" s="1096">
        <v>9.0184500000000001E-2</v>
      </c>
      <c r="H76" s="1097">
        <v>0.109</v>
      </c>
      <c r="I76" s="4"/>
      <c r="J76" s="4"/>
      <c r="K76" s="4"/>
      <c r="L76" s="1099"/>
    </row>
    <row r="77" spans="2:12" s="3" customFormat="1" ht="16.5">
      <c r="B77" s="1093" t="s">
        <v>1274</v>
      </c>
      <c r="C77" s="4"/>
      <c r="D77" s="4"/>
      <c r="E77" s="1096">
        <v>8.5683930000000005E-2</v>
      </c>
      <c r="F77" s="4"/>
      <c r="G77" s="1096">
        <v>0.19992916999999999</v>
      </c>
      <c r="H77" s="1097">
        <v>0.109</v>
      </c>
      <c r="I77" s="4"/>
      <c r="J77" s="4"/>
      <c r="K77" s="4"/>
      <c r="L77" s="1099"/>
    </row>
    <row r="78" spans="2:12" s="3" customFormat="1" ht="16.5">
      <c r="B78" s="1093" t="s">
        <v>1276</v>
      </c>
      <c r="C78" s="4"/>
      <c r="D78" s="4"/>
      <c r="E78" s="1096">
        <v>1.04295E-3</v>
      </c>
      <c r="F78" s="4"/>
      <c r="G78" s="1096">
        <v>2.43355E-3</v>
      </c>
      <c r="H78" s="1097">
        <v>0.109</v>
      </c>
      <c r="I78" s="4"/>
      <c r="J78" s="4"/>
      <c r="K78" s="4"/>
      <c r="L78" s="1099"/>
    </row>
    <row r="79" spans="2:12" s="3" customFormat="1" ht="16.5">
      <c r="B79" s="1093" t="s">
        <v>1278</v>
      </c>
      <c r="C79" s="4"/>
      <c r="D79" s="4"/>
      <c r="E79" s="1096">
        <v>1.9406249999999996E-2</v>
      </c>
      <c r="F79" s="4"/>
      <c r="G79" s="1096">
        <v>4.5281249999999995E-2</v>
      </c>
      <c r="H79" s="1097">
        <v>0.109</v>
      </c>
      <c r="I79" s="4"/>
      <c r="J79" s="4"/>
      <c r="K79" s="4"/>
      <c r="L79" s="1099"/>
    </row>
    <row r="80" spans="2:12" s="3" customFormat="1" ht="16.5">
      <c r="B80" s="1093" t="s">
        <v>1280</v>
      </c>
      <c r="C80" s="4"/>
      <c r="D80" s="4"/>
      <c r="E80" s="1096">
        <v>1.9501589999999999E-2</v>
      </c>
      <c r="F80" s="4"/>
      <c r="G80" s="1096">
        <v>4.5503710000000003E-2</v>
      </c>
      <c r="H80" s="1097">
        <v>0.109</v>
      </c>
      <c r="I80" s="4"/>
      <c r="J80" s="4"/>
      <c r="K80" s="4"/>
      <c r="L80" s="1099"/>
    </row>
    <row r="81" spans="2:12" s="3" customFormat="1">
      <c r="B81" s="85"/>
      <c r="C81" s="4"/>
      <c r="D81" s="4"/>
      <c r="E81" s="4"/>
      <c r="F81" s="4"/>
      <c r="G81" s="4"/>
      <c r="H81" s="4"/>
      <c r="I81" s="4"/>
      <c r="J81" s="4"/>
      <c r="K81" s="4"/>
      <c r="L81" s="1099"/>
    </row>
    <row r="82" spans="2:12" s="3" customFormat="1">
      <c r="B82" s="81" t="s">
        <v>147</v>
      </c>
      <c r="C82" s="4"/>
      <c r="D82" s="4"/>
      <c r="E82" s="4"/>
      <c r="F82" s="4"/>
      <c r="G82" s="4"/>
      <c r="H82" s="4"/>
      <c r="I82" s="4"/>
      <c r="J82" s="4"/>
      <c r="K82" s="4"/>
      <c r="L82" s="1099"/>
    </row>
    <row r="83" spans="2:12" s="3" customFormat="1">
      <c r="B83" s="81" t="s">
        <v>33</v>
      </c>
      <c r="C83" s="4"/>
      <c r="D83" s="4"/>
      <c r="E83" s="4"/>
      <c r="F83" s="4"/>
      <c r="G83" s="4"/>
      <c r="H83" s="4"/>
      <c r="I83" s="4"/>
      <c r="J83" s="4"/>
      <c r="K83" s="4"/>
    </row>
    <row r="84" spans="2:12" s="3" customFormat="1">
      <c r="B84" s="4" t="s">
        <v>1271</v>
      </c>
      <c r="C84" s="4"/>
      <c r="D84" s="4"/>
      <c r="E84" s="4"/>
      <c r="F84" s="4"/>
      <c r="G84" s="4"/>
      <c r="H84" s="4"/>
      <c r="I84" s="4"/>
      <c r="J84" s="4"/>
      <c r="K84" s="4"/>
    </row>
    <row r="85" spans="2:12" s="3" customFormat="1">
      <c r="B85" s="4"/>
      <c r="C85" s="4"/>
      <c r="D85" s="4"/>
      <c r="E85" s="4"/>
      <c r="F85" s="4"/>
      <c r="G85" s="4"/>
      <c r="H85" s="4"/>
      <c r="I85" s="4"/>
      <c r="J85" s="4"/>
      <c r="K85" s="4"/>
    </row>
    <row r="86" spans="2:12" s="3" customFormat="1">
      <c r="B86" s="5" t="s">
        <v>34</v>
      </c>
      <c r="C86" s="4"/>
      <c r="D86" s="4"/>
      <c r="E86" s="1096">
        <v>0.126</v>
      </c>
      <c r="F86" s="4"/>
      <c r="G86" s="1096">
        <v>0.29399999999999998</v>
      </c>
      <c r="H86" s="1097">
        <v>0.109</v>
      </c>
      <c r="I86" s="4"/>
      <c r="J86" s="4"/>
      <c r="K86" s="4"/>
    </row>
    <row r="87" spans="2:12" s="3" customFormat="1">
      <c r="B87" s="5"/>
      <c r="C87" s="4"/>
      <c r="D87" s="4"/>
      <c r="E87" s="4"/>
      <c r="F87" s="4"/>
      <c r="G87" s="4"/>
      <c r="H87" s="4"/>
      <c r="I87" s="4"/>
      <c r="J87" s="4"/>
      <c r="K87" s="4"/>
    </row>
    <row r="88" spans="2:12" s="3" customFormat="1">
      <c r="B88" s="81" t="s">
        <v>148</v>
      </c>
      <c r="C88" s="4"/>
      <c r="D88" s="4"/>
      <c r="E88" s="4"/>
      <c r="F88" s="4"/>
      <c r="G88" s="4"/>
      <c r="H88" s="4"/>
      <c r="I88" s="4"/>
      <c r="J88" s="4"/>
      <c r="K88" s="4"/>
    </row>
    <row r="89" spans="2:12" s="3" customFormat="1">
      <c r="B89" s="81" t="s">
        <v>33</v>
      </c>
      <c r="C89" s="4"/>
      <c r="D89" s="4"/>
      <c r="E89" s="4"/>
      <c r="F89" s="4"/>
      <c r="G89" s="4"/>
      <c r="H89" s="4"/>
      <c r="I89" s="4"/>
      <c r="J89" s="4"/>
      <c r="K89" s="4"/>
    </row>
    <row r="90" spans="2:12" s="3" customFormat="1">
      <c r="B90" s="4" t="s">
        <v>1271</v>
      </c>
      <c r="C90" s="4"/>
      <c r="D90" s="4"/>
      <c r="E90" s="4"/>
      <c r="F90" s="4"/>
      <c r="G90" s="4"/>
      <c r="H90" s="4"/>
      <c r="I90" s="4"/>
      <c r="J90" s="4"/>
      <c r="K90" s="4"/>
    </row>
    <row r="91" spans="2:12" s="3" customFormat="1">
      <c r="B91" s="4"/>
      <c r="C91" s="4"/>
      <c r="D91" s="4"/>
      <c r="E91" s="4"/>
      <c r="F91" s="4"/>
      <c r="G91" s="4"/>
      <c r="H91" s="4"/>
      <c r="I91" s="4"/>
      <c r="J91" s="4"/>
      <c r="K91" s="4"/>
    </row>
    <row r="92" spans="2:12" s="3" customFormat="1">
      <c r="B92" s="5" t="s">
        <v>34</v>
      </c>
      <c r="C92" s="4"/>
      <c r="D92" s="4"/>
      <c r="E92" s="4"/>
      <c r="F92" s="4"/>
      <c r="G92" s="4"/>
      <c r="H92" s="4"/>
      <c r="I92" s="4"/>
      <c r="J92" s="4"/>
      <c r="K92" s="4"/>
    </row>
    <row r="93" spans="2:12" s="3" customFormat="1">
      <c r="B93" s="4" t="s">
        <v>1283</v>
      </c>
      <c r="C93" s="4"/>
      <c r="D93" s="4"/>
      <c r="E93" s="1096">
        <v>0.27</v>
      </c>
      <c r="F93" s="4"/>
      <c r="G93" s="1096">
        <v>0.63</v>
      </c>
      <c r="H93" s="1097">
        <v>0.109</v>
      </c>
      <c r="I93" s="4"/>
      <c r="J93" s="4"/>
      <c r="K93" s="4"/>
      <c r="L93" s="1099"/>
    </row>
    <row r="94" spans="2:12" s="3" customFormat="1">
      <c r="B94" s="81"/>
      <c r="C94" s="4"/>
      <c r="D94" s="4"/>
      <c r="E94" s="4"/>
      <c r="F94" s="4"/>
      <c r="G94" s="4"/>
      <c r="H94" s="4"/>
      <c r="I94" s="4"/>
      <c r="J94" s="4"/>
      <c r="K94" s="4"/>
    </row>
    <row r="95" spans="2:12" s="3" customFormat="1">
      <c r="B95" s="81" t="s">
        <v>149</v>
      </c>
      <c r="C95" s="4"/>
      <c r="D95" s="4"/>
      <c r="E95" s="4"/>
      <c r="F95" s="4"/>
      <c r="G95" s="4"/>
      <c r="H95" s="4"/>
      <c r="I95" s="4"/>
      <c r="J95" s="4"/>
      <c r="K95" s="4"/>
    </row>
    <row r="96" spans="2:12" s="3" customFormat="1">
      <c r="B96" s="81" t="s">
        <v>33</v>
      </c>
      <c r="C96" s="4"/>
      <c r="D96" s="4"/>
      <c r="E96" s="4"/>
      <c r="F96" s="4"/>
      <c r="G96" s="4"/>
      <c r="H96" s="4"/>
      <c r="I96" s="4"/>
      <c r="J96" s="4"/>
      <c r="K96" s="4"/>
    </row>
    <row r="97" spans="2:24" s="3" customFormat="1">
      <c r="B97" s="4" t="s">
        <v>1271</v>
      </c>
      <c r="C97" s="4"/>
      <c r="D97" s="4"/>
      <c r="E97" s="4"/>
      <c r="F97" s="4"/>
      <c r="G97" s="4"/>
      <c r="H97" s="4"/>
      <c r="I97" s="4"/>
      <c r="J97" s="4"/>
      <c r="K97" s="4"/>
    </row>
    <row r="98" spans="2:24" s="3" customFormat="1">
      <c r="B98" s="4"/>
      <c r="C98" s="4"/>
      <c r="D98" s="4"/>
      <c r="E98" s="4"/>
      <c r="F98" s="4"/>
      <c r="G98" s="4"/>
      <c r="H98" s="4"/>
      <c r="I98" s="4"/>
      <c r="J98" s="4"/>
      <c r="K98" s="4"/>
    </row>
    <row r="99" spans="2:24" s="3" customFormat="1">
      <c r="B99" s="5" t="s">
        <v>34</v>
      </c>
      <c r="C99" s="4"/>
      <c r="D99" s="4"/>
      <c r="E99" s="4"/>
      <c r="F99" s="4"/>
      <c r="G99" s="4"/>
      <c r="H99" s="4"/>
      <c r="I99" s="4"/>
      <c r="J99" s="4"/>
      <c r="K99" s="4"/>
    </row>
    <row r="100" spans="2:24" s="3" customFormat="1">
      <c r="B100" s="4" t="s">
        <v>1285</v>
      </c>
      <c r="C100" s="4"/>
      <c r="D100" s="4"/>
      <c r="E100" s="1096">
        <v>0.27</v>
      </c>
      <c r="F100" s="4"/>
      <c r="G100" s="1096">
        <v>0.63</v>
      </c>
      <c r="H100" s="1097">
        <v>0.109</v>
      </c>
      <c r="I100" s="4"/>
      <c r="J100" s="4"/>
      <c r="K100" s="4"/>
      <c r="L100" s="1099"/>
    </row>
    <row r="101" spans="2:24" s="3" customFormat="1">
      <c r="B101" s="4"/>
      <c r="C101" s="4"/>
      <c r="D101" s="4"/>
      <c r="E101" s="4"/>
      <c r="F101" s="4"/>
      <c r="G101" s="4"/>
      <c r="H101" s="4"/>
      <c r="I101" s="4"/>
      <c r="J101" s="4"/>
      <c r="K101" s="4"/>
    </row>
    <row r="102" spans="2:24">
      <c r="B102" s="215" t="s">
        <v>5</v>
      </c>
      <c r="C102" s="2"/>
      <c r="D102" s="2"/>
      <c r="E102" s="2"/>
      <c r="F102" s="2"/>
      <c r="G102" s="2"/>
      <c r="H102" s="2"/>
      <c r="I102" s="2"/>
      <c r="J102" s="2"/>
      <c r="K102" s="2"/>
    </row>
    <row r="104" spans="2:24">
      <c r="B104" s="169" t="s">
        <v>257</v>
      </c>
      <c r="C104" s="157"/>
      <c r="D104" s="157"/>
      <c r="E104" s="157"/>
      <c r="F104" s="9"/>
      <c r="G104" s="9"/>
      <c r="H104" s="9"/>
      <c r="I104" s="9"/>
      <c r="J104" s="9"/>
      <c r="K104" s="9"/>
      <c r="L104" s="9"/>
      <c r="M104" s="9"/>
      <c r="N104" s="9"/>
      <c r="O104" s="9"/>
      <c r="P104" s="9"/>
      <c r="Q104" s="9"/>
      <c r="R104" s="9"/>
      <c r="S104" s="9"/>
      <c r="T104" s="9"/>
      <c r="U104" s="9"/>
      <c r="V104" s="9"/>
      <c r="W104" s="9"/>
      <c r="X104" s="9"/>
    </row>
    <row r="105" spans="2:24">
      <c r="B105" s="12"/>
      <c r="C105" s="157"/>
      <c r="D105" s="157"/>
      <c r="E105" s="157"/>
      <c r="F105" s="9"/>
      <c r="G105" s="9"/>
      <c r="H105" s="9"/>
      <c r="I105" s="9"/>
      <c r="J105" s="9"/>
      <c r="K105" s="9"/>
      <c r="L105" s="9"/>
      <c r="M105" s="9"/>
      <c r="N105" s="9"/>
      <c r="O105" s="9"/>
      <c r="P105" s="9"/>
      <c r="Q105" s="9"/>
      <c r="R105" s="9"/>
      <c r="S105" s="9"/>
      <c r="T105" s="9"/>
      <c r="U105" s="9"/>
      <c r="V105" s="9"/>
      <c r="W105" s="9"/>
      <c r="X105" s="9"/>
    </row>
    <row r="106" spans="2:24">
      <c r="B106" s="157" t="s">
        <v>0</v>
      </c>
      <c r="F106" s="9"/>
      <c r="G106" s="9"/>
      <c r="H106" s="9"/>
      <c r="I106" s="9"/>
      <c r="J106" s="9"/>
      <c r="K106" s="9"/>
      <c r="L106" s="9"/>
      <c r="M106" s="9"/>
      <c r="N106" s="9"/>
      <c r="O106" s="9"/>
      <c r="P106" s="9"/>
      <c r="Q106" s="9"/>
      <c r="R106" s="9"/>
      <c r="S106" s="9"/>
      <c r="T106" s="9"/>
      <c r="U106" s="9"/>
      <c r="V106" s="9"/>
      <c r="W106" s="9"/>
      <c r="X106" s="9"/>
    </row>
    <row r="107" spans="2:24">
      <c r="B107" s="12"/>
      <c r="C107" s="12"/>
      <c r="D107" s="12"/>
      <c r="E107" s="12"/>
      <c r="F107" s="9"/>
      <c r="G107" s="9"/>
      <c r="H107" s="9"/>
      <c r="I107" s="9"/>
      <c r="J107" s="9"/>
      <c r="K107" s="9"/>
      <c r="L107" s="9"/>
      <c r="M107" s="9"/>
      <c r="O107" s="8" t="s">
        <v>16</v>
      </c>
      <c r="P107" s="8"/>
      <c r="Q107" s="8"/>
      <c r="R107" s="8"/>
      <c r="S107" s="8"/>
      <c r="T107" s="8"/>
      <c r="U107" s="9"/>
      <c r="V107" s="9"/>
      <c r="W107" s="9"/>
    </row>
    <row r="108" spans="2:24" s="87" customFormat="1">
      <c r="B108" s="1440" t="s">
        <v>26</v>
      </c>
      <c r="C108" s="1383" t="s">
        <v>1</v>
      </c>
      <c r="D108" s="1383" t="s">
        <v>624</v>
      </c>
      <c r="E108" s="1383" t="s">
        <v>625</v>
      </c>
      <c r="F108" s="1383" t="s">
        <v>6</v>
      </c>
      <c r="G108" s="1437" t="s">
        <v>2</v>
      </c>
      <c r="H108" s="1438"/>
      <c r="I108" s="1439"/>
      <c r="J108" s="1437" t="s">
        <v>13</v>
      </c>
      <c r="K108" s="1438"/>
      <c r="L108" s="1439"/>
      <c r="M108" s="1437" t="s">
        <v>626</v>
      </c>
      <c r="N108" s="1438"/>
      <c r="O108" s="1439"/>
    </row>
    <row r="109" spans="2:24" s="87" customFormat="1" ht="28.5">
      <c r="B109" s="1442"/>
      <c r="C109" s="1385"/>
      <c r="D109" s="1385"/>
      <c r="E109" s="1385"/>
      <c r="F109" s="1385"/>
      <c r="G109" s="1070" t="s">
        <v>17</v>
      </c>
      <c r="H109" s="1070" t="s">
        <v>14</v>
      </c>
      <c r="I109" s="345" t="s">
        <v>627</v>
      </c>
      <c r="J109" s="1070" t="s">
        <v>17</v>
      </c>
      <c r="K109" s="1070" t="s">
        <v>14</v>
      </c>
      <c r="L109" s="1070" t="s">
        <v>12</v>
      </c>
      <c r="M109" s="1070" t="s">
        <v>39</v>
      </c>
      <c r="N109" s="1071" t="s">
        <v>628</v>
      </c>
      <c r="O109" s="346" t="s">
        <v>40</v>
      </c>
    </row>
    <row r="110" spans="2:24" s="3" customFormat="1">
      <c r="B110" s="5" t="s">
        <v>38</v>
      </c>
      <c r="C110" s="5"/>
      <c r="D110" s="5"/>
      <c r="E110" s="5"/>
      <c r="F110" s="5"/>
      <c r="G110" s="5"/>
      <c r="H110" s="5"/>
      <c r="I110" s="5"/>
      <c r="J110" s="5"/>
      <c r="K110" s="5"/>
      <c r="L110" s="5"/>
      <c r="M110" s="5"/>
      <c r="N110" s="5"/>
      <c r="O110" s="84"/>
    </row>
    <row r="111" spans="2:24" s="3" customFormat="1">
      <c r="B111" s="81" t="s">
        <v>33</v>
      </c>
      <c r="C111" s="5"/>
      <c r="D111" s="5"/>
      <c r="E111" s="5"/>
      <c r="F111" s="5"/>
      <c r="G111" s="5"/>
      <c r="H111" s="5"/>
      <c r="I111" s="5"/>
      <c r="J111" s="5"/>
      <c r="K111" s="5"/>
      <c r="L111" s="5"/>
      <c r="M111" s="5"/>
      <c r="N111" s="5"/>
      <c r="O111" s="84"/>
    </row>
    <row r="112" spans="2:24" s="3" customFormat="1">
      <c r="B112" s="4" t="s">
        <v>1271</v>
      </c>
      <c r="C112" s="5"/>
      <c r="D112" s="5"/>
      <c r="E112" s="5"/>
      <c r="F112" s="5"/>
      <c r="G112" s="5"/>
      <c r="H112" s="5"/>
      <c r="I112" s="5"/>
      <c r="J112" s="5"/>
      <c r="K112" s="5"/>
      <c r="L112" s="5"/>
      <c r="M112" s="5"/>
      <c r="N112" s="5"/>
      <c r="O112" s="84"/>
    </row>
    <row r="113" spans="2:15" s="3" customFormat="1">
      <c r="B113" s="4"/>
      <c r="C113" s="5"/>
      <c r="D113" s="5"/>
      <c r="E113" s="5"/>
      <c r="F113" s="5"/>
      <c r="G113" s="5"/>
      <c r="H113" s="5"/>
      <c r="I113" s="5"/>
      <c r="J113" s="5"/>
      <c r="K113" s="5"/>
      <c r="L113" s="5"/>
      <c r="M113" s="5"/>
      <c r="N113" s="5"/>
      <c r="O113" s="84"/>
    </row>
    <row r="114" spans="2:15" s="3" customFormat="1">
      <c r="B114" s="5" t="s">
        <v>34</v>
      </c>
      <c r="C114" s="5"/>
      <c r="D114" s="5"/>
      <c r="E114" s="5"/>
      <c r="F114" s="5"/>
      <c r="G114" s="5"/>
      <c r="H114" s="5"/>
      <c r="I114" s="5"/>
      <c r="J114" s="5"/>
      <c r="K114" s="5"/>
      <c r="L114" s="5"/>
      <c r="M114" s="5"/>
      <c r="N114" s="5"/>
      <c r="O114" s="84"/>
    </row>
    <row r="115" spans="2:15" s="3" customFormat="1">
      <c r="B115" s="4" t="s">
        <v>37</v>
      </c>
      <c r="C115" s="4"/>
      <c r="D115" s="4"/>
      <c r="E115" s="4"/>
      <c r="F115" s="4"/>
      <c r="G115" s="4"/>
      <c r="H115" s="4"/>
      <c r="I115" s="4"/>
      <c r="J115" s="4"/>
      <c r="K115" s="4"/>
      <c r="L115" s="4"/>
      <c r="M115" s="4"/>
      <c r="N115" s="4"/>
      <c r="O115" s="82"/>
    </row>
    <row r="116" spans="2:15" s="3" customFormat="1">
      <c r="B116" s="85"/>
      <c r="C116" s="4"/>
      <c r="D116" s="4"/>
      <c r="E116" s="4"/>
      <c r="F116" s="4"/>
      <c r="G116" s="4"/>
      <c r="H116" s="4"/>
      <c r="I116" s="4"/>
      <c r="J116" s="4"/>
      <c r="K116" s="4"/>
      <c r="L116" s="4"/>
      <c r="M116" s="4"/>
      <c r="N116" s="4"/>
      <c r="O116" s="82"/>
    </row>
    <row r="117" spans="2:15" s="3" customFormat="1">
      <c r="B117" s="81" t="s">
        <v>146</v>
      </c>
      <c r="C117" s="4"/>
      <c r="D117" s="4"/>
      <c r="E117" s="4"/>
      <c r="F117" s="4"/>
      <c r="G117" s="4"/>
      <c r="H117" s="4"/>
      <c r="I117" s="4"/>
      <c r="J117" s="4"/>
      <c r="K117" s="4"/>
      <c r="L117" s="4"/>
      <c r="M117" s="4"/>
      <c r="N117" s="4"/>
      <c r="O117" s="82"/>
    </row>
    <row r="118" spans="2:15" s="3" customFormat="1">
      <c r="B118" s="81" t="s">
        <v>33</v>
      </c>
      <c r="C118" s="4"/>
      <c r="D118" s="4"/>
      <c r="E118" s="4"/>
      <c r="F118" s="4"/>
      <c r="G118" s="4"/>
      <c r="H118" s="4"/>
      <c r="I118" s="4"/>
      <c r="J118" s="4"/>
      <c r="K118" s="4"/>
      <c r="L118" s="4"/>
      <c r="M118" s="4"/>
      <c r="N118" s="4"/>
      <c r="O118" s="82"/>
    </row>
    <row r="119" spans="2:15" s="3" customFormat="1">
      <c r="B119" s="4" t="s">
        <v>1271</v>
      </c>
      <c r="C119" s="4"/>
      <c r="D119" s="4"/>
      <c r="E119" s="4"/>
      <c r="F119" s="4"/>
      <c r="G119" s="4"/>
      <c r="H119" s="4"/>
      <c r="I119" s="4"/>
      <c r="J119" s="4"/>
      <c r="K119" s="4"/>
      <c r="L119" s="4"/>
      <c r="M119" s="4"/>
      <c r="N119" s="4"/>
      <c r="O119" s="82"/>
    </row>
    <row r="120" spans="2:15" s="3" customFormat="1">
      <c r="B120" s="4"/>
      <c r="C120" s="4"/>
      <c r="D120" s="4"/>
      <c r="E120" s="4"/>
      <c r="F120" s="4"/>
      <c r="G120" s="4"/>
      <c r="H120" s="4"/>
      <c r="I120" s="4"/>
      <c r="J120" s="4"/>
      <c r="K120" s="4"/>
      <c r="L120" s="4"/>
      <c r="M120" s="4"/>
      <c r="N120" s="4"/>
      <c r="O120" s="82"/>
    </row>
    <row r="121" spans="2:15" s="3" customFormat="1">
      <c r="B121" s="5" t="s">
        <v>34</v>
      </c>
      <c r="C121" s="4"/>
      <c r="D121" s="4"/>
      <c r="E121" s="4"/>
      <c r="F121" s="4"/>
      <c r="G121" s="4"/>
      <c r="H121" s="4"/>
      <c r="I121" s="4"/>
      <c r="J121" s="4"/>
      <c r="K121" s="4"/>
      <c r="L121" s="4"/>
      <c r="M121" s="4"/>
      <c r="N121" s="4"/>
      <c r="O121" s="82"/>
    </row>
    <row r="122" spans="2:15" s="3" customFormat="1">
      <c r="B122" s="4"/>
      <c r="C122" s="4"/>
      <c r="D122" s="4"/>
      <c r="E122" s="4"/>
      <c r="F122" s="4"/>
      <c r="G122" s="4"/>
      <c r="H122" s="4"/>
      <c r="I122" s="4"/>
      <c r="J122" s="4"/>
      <c r="K122" s="4"/>
      <c r="L122" s="4"/>
      <c r="M122" s="4"/>
      <c r="N122" s="4"/>
      <c r="O122" s="82"/>
    </row>
    <row r="123" spans="2:15" s="3" customFormat="1">
      <c r="B123" s="81" t="s">
        <v>147</v>
      </c>
      <c r="C123" s="4"/>
      <c r="D123" s="4"/>
      <c r="E123" s="4"/>
      <c r="F123" s="4"/>
      <c r="G123" s="4"/>
      <c r="H123" s="4"/>
      <c r="I123" s="4"/>
      <c r="J123" s="4"/>
      <c r="K123" s="4"/>
      <c r="L123" s="4"/>
      <c r="M123" s="4"/>
      <c r="N123" s="4"/>
      <c r="O123" s="82"/>
    </row>
    <row r="124" spans="2:15" s="3" customFormat="1">
      <c r="B124" s="81" t="s">
        <v>33</v>
      </c>
      <c r="C124" s="4"/>
      <c r="D124" s="4"/>
      <c r="E124" s="4"/>
      <c r="F124" s="4"/>
      <c r="G124" s="4"/>
      <c r="H124" s="4"/>
      <c r="I124" s="4"/>
      <c r="J124" s="4"/>
      <c r="K124" s="4"/>
      <c r="L124" s="4"/>
      <c r="M124" s="4"/>
      <c r="N124" s="4"/>
      <c r="O124" s="82"/>
    </row>
    <row r="125" spans="2:15" s="3" customFormat="1">
      <c r="B125" s="4" t="s">
        <v>1271</v>
      </c>
      <c r="C125" s="4"/>
      <c r="D125" s="4"/>
      <c r="E125" s="4"/>
      <c r="F125" s="4"/>
      <c r="G125" s="4"/>
      <c r="H125" s="4"/>
      <c r="I125" s="4"/>
      <c r="J125" s="4"/>
      <c r="K125" s="4"/>
      <c r="L125" s="4"/>
      <c r="M125" s="4"/>
      <c r="N125" s="4"/>
      <c r="O125" s="82"/>
    </row>
    <row r="126" spans="2:15" s="3" customFormat="1">
      <c r="B126" s="4"/>
      <c r="C126" s="4"/>
      <c r="D126" s="4"/>
      <c r="E126" s="4"/>
      <c r="F126" s="4"/>
      <c r="G126" s="4"/>
      <c r="H126" s="4"/>
      <c r="I126" s="4"/>
      <c r="J126" s="4"/>
      <c r="K126" s="4"/>
      <c r="L126" s="4"/>
      <c r="M126" s="4"/>
      <c r="N126" s="4"/>
      <c r="O126" s="82"/>
    </row>
    <row r="127" spans="2:15" s="3" customFormat="1">
      <c r="B127" s="5" t="s">
        <v>34</v>
      </c>
      <c r="C127" s="4"/>
      <c r="D127" s="4"/>
      <c r="E127" s="4"/>
      <c r="F127" s="4"/>
      <c r="G127" s="4"/>
      <c r="H127" s="4"/>
      <c r="I127" s="4"/>
      <c r="J127" s="4"/>
      <c r="K127" s="4"/>
      <c r="L127" s="4"/>
      <c r="M127" s="4"/>
      <c r="N127" s="4"/>
      <c r="O127" s="82"/>
    </row>
    <row r="128" spans="2:15" s="3" customFormat="1">
      <c r="B128" s="4"/>
      <c r="C128" s="4"/>
      <c r="D128" s="4"/>
      <c r="E128" s="4"/>
      <c r="F128" s="4"/>
      <c r="G128" s="4"/>
      <c r="H128" s="4"/>
      <c r="I128" s="4"/>
      <c r="J128" s="4"/>
      <c r="K128" s="4"/>
      <c r="L128" s="4"/>
      <c r="M128" s="4"/>
      <c r="N128" s="4"/>
      <c r="O128" s="82"/>
    </row>
    <row r="129" spans="2:24" s="3" customFormat="1">
      <c r="B129" s="4"/>
      <c r="C129" s="4"/>
      <c r="D129" s="4"/>
      <c r="E129" s="4"/>
      <c r="F129" s="4"/>
      <c r="G129" s="4"/>
      <c r="H129" s="4"/>
      <c r="I129" s="4"/>
      <c r="J129" s="4"/>
      <c r="K129" s="4"/>
      <c r="L129" s="4"/>
      <c r="M129" s="4"/>
      <c r="N129" s="4"/>
      <c r="O129" s="82"/>
    </row>
    <row r="130" spans="2:24" s="3" customFormat="1">
      <c r="B130" s="85"/>
      <c r="C130" s="4"/>
      <c r="D130" s="4"/>
      <c r="E130" s="4"/>
      <c r="F130" s="4"/>
      <c r="G130" s="4"/>
      <c r="H130" s="4"/>
      <c r="I130" s="4"/>
      <c r="J130" s="4"/>
      <c r="K130" s="4"/>
      <c r="L130" s="4"/>
      <c r="M130" s="4"/>
      <c r="N130" s="4"/>
      <c r="O130" s="82"/>
    </row>
    <row r="131" spans="2:24" s="3" customFormat="1">
      <c r="B131" s="81" t="s">
        <v>148</v>
      </c>
      <c r="C131" s="4"/>
      <c r="D131" s="4"/>
      <c r="E131" s="4"/>
      <c r="F131" s="4"/>
      <c r="G131" s="4"/>
      <c r="H131" s="4"/>
      <c r="I131" s="4"/>
      <c r="J131" s="4"/>
      <c r="K131" s="4"/>
      <c r="L131" s="4"/>
      <c r="M131" s="4"/>
      <c r="N131" s="4"/>
      <c r="O131" s="82"/>
    </row>
    <row r="132" spans="2:24" s="3" customFormat="1">
      <c r="B132" s="4" t="s">
        <v>1271</v>
      </c>
      <c r="C132" s="4"/>
      <c r="D132" s="4"/>
      <c r="E132" s="4"/>
      <c r="F132" s="4"/>
      <c r="G132" s="4"/>
      <c r="H132" s="4"/>
      <c r="I132" s="4"/>
      <c r="J132" s="4"/>
      <c r="K132" s="4"/>
      <c r="L132" s="4"/>
      <c r="M132" s="4"/>
      <c r="N132" s="4"/>
      <c r="O132" s="82"/>
    </row>
    <row r="133" spans="2:24" s="3" customFormat="1">
      <c r="B133" s="85"/>
      <c r="C133" s="4"/>
      <c r="D133" s="4"/>
      <c r="E133" s="4"/>
      <c r="F133" s="4"/>
      <c r="G133" s="4"/>
      <c r="H133" s="4"/>
      <c r="I133" s="4"/>
      <c r="J133" s="4"/>
      <c r="K133" s="4"/>
      <c r="L133" s="4"/>
      <c r="M133" s="4"/>
      <c r="N133" s="4"/>
      <c r="O133" s="82"/>
    </row>
    <row r="134" spans="2:24" s="3" customFormat="1">
      <c r="B134" s="81" t="s">
        <v>149</v>
      </c>
      <c r="C134" s="4"/>
      <c r="D134" s="4"/>
      <c r="E134" s="4"/>
      <c r="F134" s="4"/>
      <c r="G134" s="4"/>
      <c r="H134" s="4"/>
      <c r="I134" s="4"/>
      <c r="J134" s="4"/>
      <c r="K134" s="4"/>
      <c r="L134" s="4"/>
      <c r="M134" s="4"/>
      <c r="N134" s="4"/>
      <c r="O134" s="82"/>
    </row>
    <row r="135" spans="2:24" s="3" customFormat="1">
      <c r="B135" s="4" t="s">
        <v>1271</v>
      </c>
      <c r="C135" s="4"/>
      <c r="D135" s="4"/>
      <c r="E135" s="4"/>
      <c r="F135" s="4"/>
      <c r="G135" s="4"/>
      <c r="H135" s="4"/>
      <c r="I135" s="4"/>
      <c r="J135" s="4"/>
      <c r="K135" s="4"/>
      <c r="L135" s="4"/>
      <c r="M135" s="4"/>
      <c r="N135" s="4"/>
      <c r="O135" s="82"/>
    </row>
    <row r="136" spans="2:24">
      <c r="B136" s="215" t="s">
        <v>5</v>
      </c>
      <c r="C136" s="2"/>
      <c r="D136" s="2"/>
      <c r="E136" s="2"/>
      <c r="F136" s="2"/>
      <c r="G136" s="2"/>
      <c r="H136" s="2"/>
      <c r="I136" s="2"/>
      <c r="J136" s="2"/>
      <c r="K136" s="2"/>
      <c r="L136" s="2"/>
      <c r="M136" s="2"/>
      <c r="N136" s="2"/>
      <c r="O136" s="86"/>
    </row>
    <row r="138" spans="2:24">
      <c r="N138" s="13"/>
    </row>
    <row r="139" spans="2:24">
      <c r="B139" s="1076"/>
      <c r="C139" s="1076"/>
      <c r="D139" s="1076"/>
      <c r="E139" s="1076"/>
      <c r="F139" s="1076"/>
      <c r="G139" s="1076"/>
      <c r="H139" s="1076"/>
      <c r="I139" s="1076"/>
      <c r="J139" s="1076"/>
      <c r="K139" s="1076"/>
      <c r="L139" s="1073"/>
      <c r="M139" s="1073"/>
      <c r="N139" s="1073"/>
      <c r="O139" s="1073"/>
      <c r="P139" s="1073"/>
      <c r="Q139" s="189"/>
      <c r="R139" s="189"/>
      <c r="S139" s="189"/>
      <c r="T139" s="189"/>
      <c r="U139" s="9"/>
      <c r="V139" s="9"/>
      <c r="W139" s="9"/>
      <c r="X139" s="9"/>
    </row>
    <row r="140" spans="2:24">
      <c r="B140" s="216" t="s">
        <v>15</v>
      </c>
    </row>
    <row r="141" spans="2:24">
      <c r="K141" s="8" t="s">
        <v>16</v>
      </c>
      <c r="N141" s="155"/>
    </row>
    <row r="142" spans="2:24">
      <c r="B142" s="1440" t="s">
        <v>7</v>
      </c>
      <c r="C142" s="1376" t="s">
        <v>629</v>
      </c>
      <c r="D142" s="1376"/>
      <c r="E142" s="1376"/>
      <c r="F142" s="1376"/>
      <c r="G142" s="1376"/>
      <c r="H142" s="1376"/>
      <c r="I142" s="1376"/>
      <c r="J142" s="1376"/>
      <c r="K142" s="1376"/>
      <c r="L142" s="6"/>
      <c r="M142" s="6"/>
    </row>
    <row r="143" spans="2:24">
      <c r="B143" s="1441"/>
      <c r="C143" s="1383" t="s">
        <v>624</v>
      </c>
      <c r="D143" s="1383" t="s">
        <v>625</v>
      </c>
      <c r="E143" s="1383" t="s">
        <v>20</v>
      </c>
      <c r="F143" s="1383" t="s">
        <v>8</v>
      </c>
      <c r="G143" s="1376" t="s">
        <v>9</v>
      </c>
      <c r="H143" s="1443"/>
      <c r="I143" s="1443"/>
      <c r="J143" s="1443"/>
      <c r="K143" s="1443"/>
      <c r="L143" s="217"/>
      <c r="M143" s="217"/>
    </row>
    <row r="144" spans="2:24" ht="28.5">
      <c r="B144" s="1442"/>
      <c r="C144" s="1385"/>
      <c r="D144" s="1385"/>
      <c r="E144" s="1385"/>
      <c r="F144" s="1385"/>
      <c r="G144" s="1071" t="s">
        <v>3</v>
      </c>
      <c r="H144" s="1071" t="s">
        <v>21</v>
      </c>
      <c r="I144" s="1071" t="s">
        <v>18</v>
      </c>
      <c r="J144" s="1071" t="s">
        <v>19</v>
      </c>
      <c r="K144" s="1071" t="s">
        <v>4</v>
      </c>
    </row>
    <row r="145" spans="2:11" s="3" customFormat="1">
      <c r="B145" s="5" t="s">
        <v>38</v>
      </c>
      <c r="C145" s="4"/>
      <c r="D145" s="4"/>
      <c r="E145" s="4"/>
      <c r="F145" s="4"/>
      <c r="G145" s="4"/>
      <c r="H145" s="4"/>
      <c r="I145" s="4"/>
      <c r="J145" s="4"/>
      <c r="K145" s="4"/>
    </row>
    <row r="146" spans="2:11" s="3" customFormat="1">
      <c r="B146" s="81" t="s">
        <v>33</v>
      </c>
      <c r="C146" s="4"/>
      <c r="D146" s="4"/>
      <c r="E146" s="4"/>
      <c r="F146" s="4"/>
      <c r="G146" s="4"/>
      <c r="H146" s="4"/>
      <c r="I146" s="4"/>
      <c r="J146" s="4"/>
      <c r="K146" s="4"/>
    </row>
    <row r="147" spans="2:11" s="3" customFormat="1">
      <c r="B147" s="83" t="s">
        <v>35</v>
      </c>
      <c r="C147" s="4"/>
      <c r="D147" s="4"/>
      <c r="E147" s="4"/>
      <c r="F147" s="4"/>
      <c r="G147" s="4"/>
      <c r="H147" s="4"/>
      <c r="I147" s="4"/>
      <c r="J147" s="4"/>
      <c r="K147" s="4"/>
    </row>
    <row r="148" spans="2:11" s="3" customFormat="1">
      <c r="B148" s="4" t="s">
        <v>37</v>
      </c>
      <c r="C148" s="4"/>
      <c r="D148" s="4"/>
      <c r="E148" s="4"/>
      <c r="F148" s="4"/>
      <c r="G148" s="4"/>
      <c r="H148" s="4"/>
      <c r="I148" s="4"/>
      <c r="J148" s="4"/>
      <c r="K148" s="4"/>
    </row>
    <row r="149" spans="2:11" s="3" customFormat="1">
      <c r="B149" s="4" t="s">
        <v>37</v>
      </c>
      <c r="C149" s="4"/>
      <c r="D149" s="4"/>
      <c r="E149" s="4"/>
      <c r="F149" s="4"/>
      <c r="G149" s="4"/>
      <c r="H149" s="4"/>
      <c r="I149" s="4"/>
      <c r="J149" s="4"/>
      <c r="K149" s="4"/>
    </row>
    <row r="150" spans="2:11" s="3" customFormat="1">
      <c r="B150" s="83" t="s">
        <v>36</v>
      </c>
      <c r="C150" s="4"/>
      <c r="D150" s="4"/>
      <c r="E150" s="4"/>
      <c r="F150" s="4"/>
      <c r="G150" s="4"/>
      <c r="H150" s="4"/>
      <c r="I150" s="4"/>
      <c r="J150" s="4"/>
      <c r="K150" s="4"/>
    </row>
    <row r="151" spans="2:11" s="3" customFormat="1">
      <c r="B151" s="4" t="s">
        <v>37</v>
      </c>
      <c r="C151" s="4"/>
      <c r="D151" s="4"/>
      <c r="E151" s="4"/>
      <c r="F151" s="4"/>
      <c r="G151" s="4"/>
      <c r="H151" s="4"/>
      <c r="I151" s="4"/>
      <c r="J151" s="4"/>
      <c r="K151" s="4"/>
    </row>
    <row r="152" spans="2:11" s="3" customFormat="1">
      <c r="B152" s="4" t="s">
        <v>37</v>
      </c>
      <c r="C152" s="4"/>
      <c r="D152" s="4"/>
      <c r="E152" s="4"/>
      <c r="F152" s="4"/>
      <c r="G152" s="4"/>
      <c r="H152" s="4"/>
      <c r="I152" s="4"/>
      <c r="J152" s="4"/>
      <c r="K152" s="4"/>
    </row>
    <row r="153" spans="2:11" s="3" customFormat="1">
      <c r="B153" s="5" t="s">
        <v>34</v>
      </c>
      <c r="C153" s="4"/>
      <c r="D153" s="4"/>
      <c r="E153" s="4"/>
      <c r="F153" s="4"/>
      <c r="G153" s="4"/>
      <c r="H153" s="4"/>
      <c r="I153" s="4"/>
      <c r="J153" s="4"/>
      <c r="K153" s="4"/>
    </row>
    <row r="154" spans="2:11" s="3" customFormat="1">
      <c r="B154" s="4" t="s">
        <v>37</v>
      </c>
      <c r="C154" s="4"/>
      <c r="D154" s="4"/>
      <c r="E154" s="4"/>
      <c r="F154" s="4"/>
      <c r="G154" s="4"/>
      <c r="H154" s="4"/>
      <c r="I154" s="4"/>
      <c r="J154" s="4"/>
      <c r="K154" s="4"/>
    </row>
    <row r="155" spans="2:11" s="3" customFormat="1">
      <c r="B155" s="4" t="s">
        <v>37</v>
      </c>
      <c r="C155" s="4"/>
      <c r="D155" s="4"/>
      <c r="E155" s="4"/>
      <c r="F155" s="4"/>
      <c r="G155" s="4"/>
      <c r="H155" s="4"/>
      <c r="I155" s="4"/>
      <c r="J155" s="4"/>
      <c r="K155" s="4"/>
    </row>
    <row r="156" spans="2:11" s="3" customFormat="1">
      <c r="B156" s="85"/>
      <c r="C156" s="4"/>
      <c r="D156" s="4"/>
      <c r="E156" s="4"/>
      <c r="F156" s="4"/>
      <c r="G156" s="4"/>
      <c r="H156" s="4"/>
      <c r="I156" s="4"/>
      <c r="J156" s="4"/>
      <c r="K156" s="4"/>
    </row>
    <row r="157" spans="2:11" s="3" customFormat="1">
      <c r="B157" s="81" t="s">
        <v>146</v>
      </c>
      <c r="C157" s="4"/>
      <c r="D157" s="4"/>
      <c r="E157" s="4"/>
      <c r="F157" s="4"/>
      <c r="G157" s="4"/>
      <c r="H157" s="4"/>
      <c r="I157" s="4"/>
      <c r="J157" s="4"/>
      <c r="K157" s="4"/>
    </row>
    <row r="158" spans="2:11" s="3" customFormat="1">
      <c r="B158" s="81" t="s">
        <v>33</v>
      </c>
      <c r="C158" s="4"/>
      <c r="D158" s="4"/>
      <c r="E158" s="4"/>
      <c r="F158" s="4"/>
      <c r="G158" s="4"/>
      <c r="H158" s="4"/>
      <c r="I158" s="4"/>
      <c r="J158" s="4"/>
      <c r="K158" s="4"/>
    </row>
    <row r="159" spans="2:11" s="3" customFormat="1">
      <c r="B159" s="83" t="s">
        <v>35</v>
      </c>
      <c r="C159" s="4"/>
      <c r="D159" s="4"/>
      <c r="E159" s="4"/>
      <c r="F159" s="4"/>
      <c r="G159" s="4"/>
      <c r="H159" s="4"/>
      <c r="I159" s="4"/>
      <c r="J159" s="4"/>
      <c r="K159" s="4"/>
    </row>
    <row r="160" spans="2:11" s="3" customFormat="1">
      <c r="B160" s="4" t="s">
        <v>37</v>
      </c>
      <c r="C160" s="4"/>
      <c r="D160" s="4"/>
      <c r="E160" s="4"/>
      <c r="F160" s="4"/>
      <c r="G160" s="4"/>
      <c r="H160" s="4"/>
      <c r="I160" s="4"/>
      <c r="J160" s="4"/>
      <c r="K160" s="4"/>
    </row>
    <row r="161" spans="2:11" s="3" customFormat="1">
      <c r="B161" s="4" t="s">
        <v>37</v>
      </c>
      <c r="C161" s="4"/>
      <c r="D161" s="4"/>
      <c r="E161" s="4"/>
      <c r="F161" s="4"/>
      <c r="G161" s="4"/>
      <c r="H161" s="4"/>
      <c r="I161" s="4"/>
      <c r="J161" s="4"/>
      <c r="K161" s="4"/>
    </row>
    <row r="162" spans="2:11" s="3" customFormat="1">
      <c r="B162" s="83" t="s">
        <v>36</v>
      </c>
      <c r="C162" s="4"/>
      <c r="D162" s="4"/>
      <c r="E162" s="4"/>
      <c r="F162" s="4"/>
      <c r="G162" s="4"/>
      <c r="H162" s="4"/>
      <c r="I162" s="4"/>
      <c r="J162" s="4"/>
      <c r="K162" s="4"/>
    </row>
    <row r="163" spans="2:11" s="3" customFormat="1">
      <c r="B163" s="4" t="s">
        <v>37</v>
      </c>
      <c r="C163" s="4"/>
      <c r="D163" s="4"/>
      <c r="E163" s="4"/>
      <c r="F163" s="4"/>
      <c r="G163" s="4"/>
      <c r="H163" s="4"/>
      <c r="I163" s="4"/>
      <c r="J163" s="4"/>
      <c r="K163" s="4"/>
    </row>
    <row r="164" spans="2:11" s="3" customFormat="1">
      <c r="B164" s="4" t="s">
        <v>37</v>
      </c>
      <c r="C164" s="4"/>
      <c r="D164" s="4"/>
      <c r="E164" s="4"/>
      <c r="F164" s="4"/>
      <c r="G164" s="4"/>
      <c r="H164" s="4"/>
      <c r="I164" s="4"/>
      <c r="J164" s="4"/>
      <c r="K164" s="4"/>
    </row>
    <row r="165" spans="2:11" s="3" customFormat="1">
      <c r="B165" s="5" t="s">
        <v>34</v>
      </c>
      <c r="C165" s="4"/>
      <c r="D165" s="4"/>
      <c r="E165" s="4"/>
      <c r="F165" s="4"/>
      <c r="G165" s="4"/>
      <c r="H165" s="4"/>
      <c r="I165" s="4"/>
      <c r="J165" s="4"/>
      <c r="K165" s="4"/>
    </row>
    <row r="166" spans="2:11" s="3" customFormat="1">
      <c r="B166" s="4" t="s">
        <v>37</v>
      </c>
      <c r="C166" s="4"/>
      <c r="D166" s="4"/>
      <c r="E166" s="4"/>
      <c r="F166" s="4"/>
      <c r="G166" s="4"/>
      <c r="H166" s="4"/>
      <c r="I166" s="4"/>
      <c r="J166" s="4"/>
      <c r="K166" s="4"/>
    </row>
    <row r="167" spans="2:11" s="3" customFormat="1">
      <c r="B167" s="4" t="s">
        <v>37</v>
      </c>
      <c r="C167" s="4"/>
      <c r="D167" s="4"/>
      <c r="E167" s="4"/>
      <c r="F167" s="4"/>
      <c r="G167" s="4"/>
      <c r="H167" s="4"/>
      <c r="I167" s="4"/>
      <c r="J167" s="4"/>
      <c r="K167" s="4"/>
    </row>
    <row r="168" spans="2:11" s="3" customFormat="1">
      <c r="B168" s="85"/>
      <c r="C168" s="4"/>
      <c r="D168" s="4"/>
      <c r="E168" s="4"/>
      <c r="F168" s="4"/>
      <c r="G168" s="4"/>
      <c r="H168" s="4"/>
      <c r="I168" s="4"/>
      <c r="J168" s="4"/>
      <c r="K168" s="4"/>
    </row>
    <row r="169" spans="2:11" s="3" customFormat="1">
      <c r="B169" s="81" t="s">
        <v>147</v>
      </c>
      <c r="C169" s="4"/>
      <c r="D169" s="4"/>
      <c r="E169" s="4"/>
      <c r="F169" s="4"/>
      <c r="G169" s="4"/>
      <c r="H169" s="4"/>
      <c r="I169" s="4"/>
      <c r="J169" s="4"/>
      <c r="K169" s="4"/>
    </row>
    <row r="170" spans="2:11" s="3" customFormat="1">
      <c r="B170" s="81" t="s">
        <v>33</v>
      </c>
      <c r="C170" s="4"/>
      <c r="D170" s="4"/>
      <c r="E170" s="4"/>
      <c r="F170" s="4"/>
      <c r="G170" s="4"/>
      <c r="H170" s="4"/>
      <c r="I170" s="4"/>
      <c r="J170" s="4"/>
      <c r="K170" s="4"/>
    </row>
    <row r="171" spans="2:11" s="3" customFormat="1">
      <c r="B171" s="83" t="s">
        <v>35</v>
      </c>
      <c r="C171" s="4"/>
      <c r="D171" s="4"/>
      <c r="E171" s="4"/>
      <c r="F171" s="4"/>
      <c r="G171" s="4"/>
      <c r="H171" s="4"/>
      <c r="I171" s="4"/>
      <c r="J171" s="4"/>
      <c r="K171" s="4"/>
    </row>
    <row r="172" spans="2:11" s="3" customFormat="1">
      <c r="B172" s="4" t="s">
        <v>37</v>
      </c>
      <c r="C172" s="4"/>
      <c r="D172" s="4"/>
      <c r="E172" s="4"/>
      <c r="F172" s="4"/>
      <c r="G172" s="4"/>
      <c r="H172" s="4"/>
      <c r="I172" s="4"/>
      <c r="J172" s="4"/>
      <c r="K172" s="4"/>
    </row>
    <row r="173" spans="2:11" s="3" customFormat="1">
      <c r="B173" s="4" t="s">
        <v>37</v>
      </c>
      <c r="C173" s="4"/>
      <c r="D173" s="4"/>
      <c r="E173" s="4"/>
      <c r="F173" s="4"/>
      <c r="G173" s="4"/>
      <c r="H173" s="4"/>
      <c r="I173" s="4"/>
      <c r="J173" s="4"/>
      <c r="K173" s="4"/>
    </row>
    <row r="174" spans="2:11" s="3" customFormat="1">
      <c r="B174" s="83" t="s">
        <v>36</v>
      </c>
      <c r="C174" s="4"/>
      <c r="D174" s="4"/>
      <c r="E174" s="4"/>
      <c r="F174" s="4"/>
      <c r="G174" s="4"/>
      <c r="H174" s="4"/>
      <c r="I174" s="4"/>
      <c r="J174" s="4"/>
      <c r="K174" s="4"/>
    </row>
    <row r="175" spans="2:11" s="3" customFormat="1">
      <c r="B175" s="4" t="s">
        <v>37</v>
      </c>
      <c r="C175" s="4"/>
      <c r="D175" s="4"/>
      <c r="E175" s="4"/>
      <c r="F175" s="4"/>
      <c r="G175" s="4"/>
      <c r="H175" s="4"/>
      <c r="I175" s="4"/>
      <c r="J175" s="4"/>
      <c r="K175" s="4"/>
    </row>
    <row r="176" spans="2:11" s="3" customFormat="1">
      <c r="B176" s="4" t="s">
        <v>37</v>
      </c>
      <c r="C176" s="4"/>
      <c r="D176" s="4"/>
      <c r="E176" s="4"/>
      <c r="F176" s="4"/>
      <c r="G176" s="4"/>
      <c r="H176" s="4"/>
      <c r="I176" s="4"/>
      <c r="J176" s="4"/>
      <c r="K176" s="4"/>
    </row>
    <row r="177" spans="2:11" s="3" customFormat="1">
      <c r="B177" s="5" t="s">
        <v>34</v>
      </c>
      <c r="C177" s="4"/>
      <c r="D177" s="4"/>
      <c r="E177" s="4"/>
      <c r="F177" s="4"/>
      <c r="G177" s="4"/>
      <c r="H177" s="4"/>
      <c r="I177" s="4"/>
      <c r="J177" s="4"/>
      <c r="K177" s="4"/>
    </row>
    <row r="178" spans="2:11" s="3" customFormat="1">
      <c r="B178" s="4" t="s">
        <v>37</v>
      </c>
      <c r="C178" s="4"/>
      <c r="D178" s="4"/>
      <c r="E178" s="4"/>
      <c r="F178" s="4"/>
      <c r="G178" s="4"/>
      <c r="H178" s="4"/>
      <c r="I178" s="4"/>
      <c r="J178" s="4"/>
      <c r="K178" s="4"/>
    </row>
    <row r="179" spans="2:11" s="3" customFormat="1">
      <c r="B179" s="4" t="s">
        <v>37</v>
      </c>
      <c r="C179" s="4"/>
      <c r="D179" s="4"/>
      <c r="E179" s="4"/>
      <c r="F179" s="4"/>
      <c r="G179" s="4"/>
      <c r="H179" s="4"/>
      <c r="I179" s="4"/>
      <c r="J179" s="4"/>
      <c r="K179" s="4"/>
    </row>
    <row r="180" spans="2:11" s="3" customFormat="1">
      <c r="B180" s="85"/>
      <c r="C180" s="4"/>
      <c r="D180" s="4"/>
      <c r="E180" s="4"/>
      <c r="F180" s="4"/>
      <c r="G180" s="4"/>
      <c r="H180" s="4"/>
      <c r="I180" s="4"/>
      <c r="J180" s="4"/>
      <c r="K180" s="4"/>
    </row>
    <row r="181" spans="2:11" s="3" customFormat="1">
      <c r="B181" s="81" t="s">
        <v>148</v>
      </c>
      <c r="C181" s="4"/>
      <c r="D181" s="4"/>
      <c r="E181" s="4"/>
      <c r="F181" s="4"/>
      <c r="G181" s="4"/>
      <c r="H181" s="4"/>
      <c r="I181" s="4"/>
      <c r="J181" s="4"/>
      <c r="K181" s="4"/>
    </row>
    <row r="182" spans="2:11" s="3" customFormat="1">
      <c r="B182" s="4" t="s">
        <v>37</v>
      </c>
      <c r="C182" s="4"/>
      <c r="D182" s="4"/>
      <c r="E182" s="4"/>
      <c r="F182" s="4"/>
      <c r="G182" s="4"/>
      <c r="H182" s="4"/>
      <c r="I182" s="4"/>
      <c r="J182" s="4"/>
      <c r="K182" s="4"/>
    </row>
    <row r="183" spans="2:11" s="3" customFormat="1">
      <c r="B183" s="4" t="s">
        <v>37</v>
      </c>
      <c r="C183" s="4"/>
      <c r="D183" s="4"/>
      <c r="E183" s="4"/>
      <c r="F183" s="4"/>
      <c r="G183" s="4"/>
      <c r="H183" s="4"/>
      <c r="I183" s="4"/>
      <c r="J183" s="4"/>
      <c r="K183" s="4"/>
    </row>
    <row r="184" spans="2:11" s="3" customFormat="1">
      <c r="B184" s="85"/>
      <c r="C184" s="4"/>
      <c r="D184" s="4"/>
      <c r="E184" s="4"/>
      <c r="F184" s="4"/>
      <c r="G184" s="4"/>
      <c r="H184" s="4"/>
      <c r="I184" s="4"/>
      <c r="J184" s="4"/>
      <c r="K184" s="4"/>
    </row>
    <row r="185" spans="2:11" s="3" customFormat="1">
      <c r="B185" s="81" t="s">
        <v>149</v>
      </c>
      <c r="C185" s="4"/>
      <c r="D185" s="4"/>
      <c r="E185" s="4"/>
      <c r="F185" s="4"/>
      <c r="G185" s="4"/>
      <c r="H185" s="4"/>
      <c r="I185" s="4"/>
      <c r="J185" s="4"/>
      <c r="K185" s="4"/>
    </row>
    <row r="186" spans="2:11" s="3" customFormat="1">
      <c r="B186" s="4" t="s">
        <v>37</v>
      </c>
      <c r="C186" s="4"/>
      <c r="D186" s="4"/>
      <c r="E186" s="4"/>
      <c r="F186" s="4"/>
      <c r="G186" s="4"/>
      <c r="H186" s="4"/>
      <c r="I186" s="4"/>
      <c r="J186" s="4"/>
      <c r="K186" s="4"/>
    </row>
    <row r="187" spans="2:11" s="3" customFormat="1">
      <c r="B187" s="4" t="s">
        <v>37</v>
      </c>
      <c r="C187" s="4"/>
      <c r="D187" s="4"/>
      <c r="E187" s="4"/>
      <c r="F187" s="4"/>
      <c r="G187" s="4"/>
      <c r="H187" s="4"/>
      <c r="I187" s="4"/>
      <c r="J187" s="4"/>
      <c r="K187" s="4"/>
    </row>
    <row r="188" spans="2:11" s="3" customFormat="1">
      <c r="B188" s="4"/>
      <c r="C188" s="4"/>
      <c r="D188" s="4"/>
      <c r="E188" s="4"/>
      <c r="F188" s="4"/>
      <c r="G188" s="4"/>
      <c r="H188" s="4"/>
      <c r="I188" s="4"/>
      <c r="J188" s="4"/>
      <c r="K188" s="4"/>
    </row>
    <row r="189" spans="2:11" s="3" customFormat="1">
      <c r="B189" s="5"/>
      <c r="C189" s="4"/>
      <c r="D189" s="4"/>
      <c r="E189" s="4"/>
      <c r="F189" s="4"/>
      <c r="G189" s="4"/>
      <c r="H189" s="4"/>
      <c r="I189" s="4"/>
      <c r="J189" s="4"/>
      <c r="K189" s="4"/>
    </row>
    <row r="190" spans="2:11" s="3" customFormat="1">
      <c r="B190" s="4"/>
      <c r="C190" s="4"/>
      <c r="D190" s="4"/>
      <c r="E190" s="4"/>
      <c r="F190" s="4"/>
      <c r="G190" s="4"/>
      <c r="H190" s="4"/>
      <c r="I190" s="4"/>
      <c r="J190" s="4"/>
      <c r="K190" s="4"/>
    </row>
    <row r="191" spans="2:11">
      <c r="B191" s="215" t="s">
        <v>5</v>
      </c>
      <c r="C191" s="2"/>
      <c r="D191" s="2"/>
      <c r="E191" s="2"/>
      <c r="F191" s="2"/>
      <c r="G191" s="2"/>
      <c r="H191" s="2"/>
      <c r="I191" s="2"/>
      <c r="J191" s="2"/>
      <c r="K191" s="2"/>
    </row>
  </sheetData>
  <mergeCells count="38">
    <mergeCell ref="G10:I10"/>
    <mergeCell ref="B10:B11"/>
    <mergeCell ref="C10:C11"/>
    <mergeCell ref="D10:D11"/>
    <mergeCell ref="E10:E11"/>
    <mergeCell ref="F10:F11"/>
    <mergeCell ref="B60:B62"/>
    <mergeCell ref="C60:K60"/>
    <mergeCell ref="C61:C62"/>
    <mergeCell ref="D61:D62"/>
    <mergeCell ref="E61:E62"/>
    <mergeCell ref="F61:F62"/>
    <mergeCell ref="G61:K61"/>
    <mergeCell ref="J10:L10"/>
    <mergeCell ref="M10:O10"/>
    <mergeCell ref="M16:M18"/>
    <mergeCell ref="N16:N18"/>
    <mergeCell ref="O16:O18"/>
    <mergeCell ref="E66:E68"/>
    <mergeCell ref="G66:G68"/>
    <mergeCell ref="H66:H68"/>
    <mergeCell ref="K66:K68"/>
    <mergeCell ref="L66:L68"/>
    <mergeCell ref="G108:I108"/>
    <mergeCell ref="J108:L108"/>
    <mergeCell ref="M108:O108"/>
    <mergeCell ref="B142:B144"/>
    <mergeCell ref="C142:K142"/>
    <mergeCell ref="C143:C144"/>
    <mergeCell ref="D143:D144"/>
    <mergeCell ref="E143:E144"/>
    <mergeCell ref="F143:F144"/>
    <mergeCell ref="G143:K143"/>
    <mergeCell ref="B108:B109"/>
    <mergeCell ref="C108:C109"/>
    <mergeCell ref="D108:D109"/>
    <mergeCell ref="E108:E109"/>
    <mergeCell ref="F108:F109"/>
  </mergeCells>
  <pageMargins left="0.47244094488188981" right="0.19685039370078741" top="0.39370078740157483" bottom="0.35433070866141736" header="0.23622047244094491" footer="0.23622047244094491"/>
  <pageSetup paperSize="9" scale="35" fitToHeight="4" orientation="landscape" r:id="rId1"/>
  <headerFooter alignWithMargins="0">
    <oddHeader>&amp;F</oddHeader>
  </headerFooter>
  <rowBreaks count="1" manualBreakCount="1">
    <brk id="137" max="1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pageSetUpPr fitToPage="1"/>
  </sheetPr>
  <dimension ref="B2:AM106"/>
  <sheetViews>
    <sheetView showGridLines="0" view="pageBreakPreview" topLeftCell="A10" zoomScale="50" zoomScaleNormal="30" zoomScaleSheetLayoutView="50" workbookViewId="0">
      <selection activeCell="C11" sqref="C11:C12"/>
    </sheetView>
  </sheetViews>
  <sheetFormatPr defaultColWidth="9.140625" defaultRowHeight="15"/>
  <cols>
    <col min="1" max="1" width="4.5703125" style="1" customWidth="1"/>
    <col min="2" max="2" width="8.28515625" style="1" customWidth="1"/>
    <col min="3" max="3" width="46.42578125" style="1" customWidth="1"/>
    <col min="4" max="11" width="19.28515625" style="1" customWidth="1"/>
    <col min="12" max="12" width="18.85546875" style="1" customWidth="1"/>
    <col min="13" max="14" width="15.5703125" style="1" customWidth="1"/>
    <col min="15" max="16" width="14.42578125" style="1" customWidth="1"/>
    <col min="17" max="17" width="15.28515625" style="1" customWidth="1"/>
    <col min="18" max="24" width="14.42578125" style="1" customWidth="1"/>
    <col min="25" max="25" width="17.28515625" style="1" customWidth="1"/>
    <col min="26" max="27" width="17.42578125" style="1" customWidth="1"/>
    <col min="28" max="31" width="15.7109375" style="1" customWidth="1"/>
    <col min="32" max="32" width="14" style="1" customWidth="1"/>
    <col min="33" max="35" width="12.7109375" style="1" customWidth="1"/>
    <col min="36" max="36" width="15.28515625" style="1" customWidth="1"/>
    <col min="37" max="37" width="12.5703125" style="1" customWidth="1"/>
    <col min="38" max="38" width="13.42578125" style="1" customWidth="1"/>
    <col min="39" max="39" width="13.5703125" style="1" customWidth="1"/>
    <col min="40" max="42" width="9.140625" style="1"/>
    <col min="43" max="43" width="11.28515625" style="1" customWidth="1"/>
    <col min="44" max="16384" width="9.140625" style="1"/>
  </cols>
  <sheetData>
    <row r="2" spans="2:39">
      <c r="C2" s="291"/>
      <c r="D2" s="291"/>
      <c r="E2" s="291"/>
      <c r="F2" s="291"/>
      <c r="G2" s="291"/>
      <c r="H2" s="291"/>
      <c r="I2" s="291"/>
      <c r="J2" s="291"/>
      <c r="K2" s="291"/>
      <c r="L2" s="291"/>
      <c r="M2" s="291"/>
      <c r="N2" s="291"/>
      <c r="O2" s="291"/>
      <c r="P2" s="291"/>
      <c r="Q2" s="291"/>
      <c r="R2" s="214"/>
      <c r="S2" s="214"/>
      <c r="T2" s="214"/>
      <c r="U2" s="214"/>
    </row>
    <row r="3" spans="2:39">
      <c r="C3" s="240"/>
      <c r="D3" s="240"/>
      <c r="E3" s="240"/>
      <c r="F3" s="240"/>
      <c r="G3" s="240"/>
      <c r="H3" s="240"/>
      <c r="I3" s="240"/>
      <c r="J3" s="240"/>
      <c r="K3" s="240"/>
      <c r="L3" s="214" t="s">
        <v>906</v>
      </c>
      <c r="M3" s="240"/>
      <c r="N3" s="240"/>
      <c r="O3" s="240"/>
      <c r="P3" s="240"/>
      <c r="Q3" s="240"/>
      <c r="R3" s="189"/>
      <c r="S3" s="189"/>
      <c r="T3" s="189"/>
      <c r="U3" s="189"/>
      <c r="V3" s="347"/>
      <c r="W3" s="347"/>
      <c r="X3" s="347"/>
    </row>
    <row r="4" spans="2:39">
      <c r="C4" s="292"/>
      <c r="D4" s="292"/>
      <c r="E4" s="292"/>
      <c r="F4" s="292"/>
      <c r="G4" s="292"/>
      <c r="H4" s="292"/>
      <c r="I4" s="292"/>
      <c r="J4" s="292"/>
      <c r="K4" s="292"/>
      <c r="L4" s="1073" t="s">
        <v>724</v>
      </c>
      <c r="M4" s="292"/>
      <c r="N4" s="292"/>
      <c r="O4" s="292"/>
      <c r="P4" s="292"/>
      <c r="Q4" s="292"/>
      <c r="R4" s="343"/>
      <c r="S4" s="343"/>
      <c r="T4" s="343"/>
      <c r="U4" s="343"/>
      <c r="V4" s="347"/>
      <c r="W4" s="347"/>
      <c r="X4" s="347"/>
    </row>
    <row r="5" spans="2:39">
      <c r="C5" s="343"/>
      <c r="D5" s="343"/>
      <c r="E5" s="343"/>
      <c r="F5" s="343"/>
      <c r="G5" s="343"/>
      <c r="H5" s="343"/>
      <c r="I5" s="343"/>
      <c r="J5" s="343"/>
      <c r="K5" s="343"/>
      <c r="L5" s="293" t="s">
        <v>638</v>
      </c>
      <c r="M5" s="344"/>
      <c r="N5" s="344"/>
      <c r="O5" s="344"/>
      <c r="P5" s="344"/>
      <c r="Q5" s="344"/>
      <c r="R5" s="344"/>
      <c r="S5" s="344"/>
      <c r="T5" s="344"/>
      <c r="U5" s="344"/>
      <c r="V5" s="344"/>
      <c r="W5" s="344"/>
      <c r="X5" s="344"/>
      <c r="Y5" s="344"/>
      <c r="Z5" s="344"/>
      <c r="AA5" s="344"/>
      <c r="AB5" s="344"/>
      <c r="AC5" s="344"/>
      <c r="AD5" s="344"/>
      <c r="AE5" s="344"/>
      <c r="AF5" s="344"/>
      <c r="AG5" s="343"/>
      <c r="AH5" s="343"/>
      <c r="AI5" s="343"/>
      <c r="AJ5" s="9"/>
      <c r="AK5" s="9"/>
      <c r="AL5" s="9"/>
      <c r="AM5" s="9"/>
    </row>
    <row r="6" spans="2:39">
      <c r="C6" s="169" t="s">
        <v>1293</v>
      </c>
      <c r="D6" s="12"/>
      <c r="E6" s="12"/>
      <c r="F6" s="12"/>
      <c r="G6" s="12"/>
      <c r="H6" s="12"/>
      <c r="I6" s="12"/>
      <c r="J6" s="12"/>
      <c r="K6" s="12"/>
      <c r="L6" s="157"/>
      <c r="M6" s="9"/>
      <c r="N6" s="9"/>
      <c r="O6" s="9"/>
      <c r="P6" s="9"/>
      <c r="Q6" s="9"/>
      <c r="R6" s="9"/>
      <c r="S6" s="9"/>
      <c r="T6" s="9"/>
      <c r="U6" s="9"/>
      <c r="V6" s="9"/>
      <c r="W6" s="9"/>
      <c r="X6" s="9"/>
      <c r="Y6" s="9"/>
      <c r="Z6" s="9"/>
      <c r="AA6" s="9"/>
      <c r="AB6" s="9"/>
      <c r="AC6" s="9"/>
      <c r="AD6" s="9"/>
      <c r="AE6" s="9"/>
      <c r="AF6" s="9"/>
      <c r="AG6" s="9"/>
      <c r="AH6" s="9"/>
      <c r="AI6" s="9"/>
      <c r="AJ6" s="9"/>
      <c r="AK6" s="9"/>
      <c r="AL6" s="9"/>
      <c r="AM6" s="9"/>
    </row>
    <row r="7" spans="2:39">
      <c r="C7" s="12"/>
      <c r="D7" s="12"/>
      <c r="E7" s="12"/>
      <c r="F7" s="12"/>
      <c r="G7" s="12"/>
      <c r="H7" s="12"/>
      <c r="I7" s="12"/>
      <c r="J7" s="12"/>
      <c r="K7" s="12"/>
      <c r="L7" s="157"/>
      <c r="M7" s="9"/>
      <c r="N7" s="9"/>
      <c r="O7" s="9"/>
      <c r="P7" s="9"/>
      <c r="Q7" s="9"/>
      <c r="R7" s="9"/>
      <c r="S7" s="9"/>
      <c r="T7" s="9"/>
      <c r="U7" s="9"/>
      <c r="V7" s="9"/>
      <c r="W7" s="9"/>
      <c r="X7" s="9"/>
      <c r="Y7" s="9"/>
      <c r="Z7" s="9"/>
      <c r="AA7" s="9"/>
      <c r="AB7" s="9"/>
      <c r="AC7" s="9"/>
      <c r="AD7" s="9"/>
      <c r="AE7" s="9"/>
      <c r="AF7" s="9"/>
      <c r="AG7" s="9"/>
      <c r="AH7" s="9"/>
      <c r="AI7" s="9"/>
      <c r="AJ7" s="9"/>
      <c r="AK7" s="9"/>
      <c r="AL7" s="9"/>
      <c r="AM7" s="9"/>
    </row>
    <row r="8" spans="2:39">
      <c r="C8" s="157" t="s">
        <v>0</v>
      </c>
      <c r="D8" s="157"/>
      <c r="E8" s="157"/>
      <c r="F8" s="157"/>
      <c r="G8" s="157"/>
      <c r="H8" s="157"/>
      <c r="I8" s="157"/>
      <c r="J8" s="157"/>
      <c r="K8" s="157"/>
      <c r="M8" s="9"/>
      <c r="N8" s="9"/>
      <c r="O8" s="9"/>
      <c r="P8" s="9"/>
      <c r="Q8" s="9"/>
      <c r="R8" s="9"/>
      <c r="S8" s="9"/>
      <c r="T8" s="9"/>
      <c r="U8" s="9"/>
      <c r="V8" s="9"/>
      <c r="W8" s="9"/>
      <c r="X8" s="9"/>
      <c r="Y8" s="9"/>
      <c r="Z8" s="9"/>
      <c r="AA8" s="9"/>
      <c r="AB8" s="9"/>
      <c r="AC8" s="9"/>
      <c r="AD8" s="9"/>
      <c r="AE8" s="9"/>
      <c r="AF8" s="9"/>
      <c r="AG8" s="9"/>
      <c r="AH8" s="9"/>
      <c r="AI8" s="9"/>
      <c r="AJ8" s="9"/>
      <c r="AK8" s="9"/>
      <c r="AL8" s="9"/>
      <c r="AM8" s="9"/>
    </row>
    <row r="9" spans="2:39">
      <c r="C9" s="12"/>
      <c r="D9" s="12"/>
      <c r="E9" s="12"/>
      <c r="F9" s="12"/>
      <c r="G9" s="12"/>
      <c r="H9" s="12"/>
      <c r="I9" s="12"/>
      <c r="J9" s="12"/>
      <c r="K9" s="12"/>
      <c r="L9" s="12"/>
      <c r="M9" s="9"/>
      <c r="N9" s="9"/>
      <c r="O9" s="9"/>
      <c r="P9" s="9"/>
      <c r="Q9" s="9"/>
      <c r="R9" s="8" t="s">
        <v>16</v>
      </c>
      <c r="V9" s="9"/>
      <c r="W9" s="9"/>
      <c r="X9" s="9"/>
      <c r="Y9" s="9"/>
      <c r="Z9" s="8"/>
      <c r="AA9" s="8"/>
      <c r="AB9" s="9"/>
      <c r="AD9" s="9"/>
      <c r="AE9" s="9"/>
      <c r="AF9" s="348" t="s">
        <v>16</v>
      </c>
      <c r="AG9" s="8"/>
      <c r="AH9" s="8"/>
      <c r="AI9" s="8"/>
      <c r="AJ9" s="9"/>
      <c r="AK9" s="9"/>
      <c r="AL9" s="9"/>
    </row>
    <row r="10" spans="2:39">
      <c r="B10" s="1383" t="s">
        <v>157</v>
      </c>
      <c r="C10" s="1383" t="s">
        <v>26</v>
      </c>
      <c r="D10" s="1383" t="s">
        <v>1</v>
      </c>
      <c r="E10" s="1383" t="s">
        <v>624</v>
      </c>
      <c r="F10" s="1383" t="s">
        <v>625</v>
      </c>
      <c r="G10" s="1383" t="s">
        <v>630</v>
      </c>
      <c r="H10" s="1383" t="s">
        <v>29</v>
      </c>
      <c r="I10" s="1383" t="s">
        <v>631</v>
      </c>
      <c r="J10" s="1383" t="s">
        <v>632</v>
      </c>
      <c r="K10" s="1383" t="s">
        <v>633</v>
      </c>
      <c r="L10" s="1383" t="s">
        <v>634</v>
      </c>
      <c r="M10" s="1383" t="s">
        <v>27</v>
      </c>
      <c r="N10" s="1456" t="s">
        <v>32</v>
      </c>
      <c r="O10" s="1457"/>
      <c r="P10" s="1457"/>
      <c r="Q10" s="1457"/>
      <c r="R10" s="1457"/>
      <c r="S10" s="1458"/>
      <c r="T10" s="1437" t="s">
        <v>30</v>
      </c>
      <c r="U10" s="1438"/>
      <c r="V10" s="1438"/>
      <c r="W10" s="1438"/>
      <c r="X10" s="1438"/>
      <c r="Y10" s="1438"/>
      <c r="Z10" s="1437" t="s">
        <v>28</v>
      </c>
      <c r="AA10" s="1438"/>
      <c r="AB10" s="1438"/>
      <c r="AC10" s="1438"/>
      <c r="AD10" s="1438"/>
      <c r="AE10" s="1438"/>
      <c r="AF10" s="1376" t="s">
        <v>635</v>
      </c>
    </row>
    <row r="11" spans="2:39" ht="28.5">
      <c r="B11" s="1384"/>
      <c r="C11" s="1384"/>
      <c r="D11" s="1384"/>
      <c r="E11" s="1384"/>
      <c r="F11" s="1384"/>
      <c r="G11" s="1384"/>
      <c r="H11" s="1384"/>
      <c r="I11" s="1384"/>
      <c r="J11" s="1384"/>
      <c r="K11" s="1384"/>
      <c r="L11" s="1384"/>
      <c r="M11" s="1384"/>
      <c r="N11" s="1383" t="s">
        <v>730</v>
      </c>
      <c r="O11" s="1071" t="s">
        <v>12</v>
      </c>
      <c r="P11" s="1071" t="s">
        <v>12</v>
      </c>
      <c r="Q11" s="1071" t="s">
        <v>688</v>
      </c>
      <c r="R11" s="1071" t="s">
        <v>689</v>
      </c>
      <c r="S11" s="1071" t="s">
        <v>689</v>
      </c>
      <c r="T11" s="1383" t="s">
        <v>735</v>
      </c>
      <c r="U11" s="1071" t="s">
        <v>12</v>
      </c>
      <c r="V11" s="1071" t="s">
        <v>12</v>
      </c>
      <c r="W11" s="1071" t="s">
        <v>688</v>
      </c>
      <c r="X11" s="1071" t="s">
        <v>689</v>
      </c>
      <c r="Y11" s="1071" t="s">
        <v>689</v>
      </c>
      <c r="Z11" s="1383" t="s">
        <v>736</v>
      </c>
      <c r="AA11" s="1071" t="s">
        <v>12</v>
      </c>
      <c r="AB11" s="1071" t="s">
        <v>12</v>
      </c>
      <c r="AC11" s="1071" t="s">
        <v>688</v>
      </c>
      <c r="AD11" s="1071" t="s">
        <v>689</v>
      </c>
      <c r="AE11" s="1071" t="s">
        <v>689</v>
      </c>
      <c r="AF11" s="1376"/>
    </row>
    <row r="12" spans="2:39">
      <c r="B12" s="1385"/>
      <c r="C12" s="1385"/>
      <c r="D12" s="1385"/>
      <c r="E12" s="1385"/>
      <c r="F12" s="1385"/>
      <c r="G12" s="1385"/>
      <c r="H12" s="1385"/>
      <c r="I12" s="1385"/>
      <c r="J12" s="1385"/>
      <c r="K12" s="1385"/>
      <c r="L12" s="1385"/>
      <c r="M12" s="1385"/>
      <c r="N12" s="1385"/>
      <c r="O12" s="1069" t="s">
        <v>38</v>
      </c>
      <c r="P12" s="1069" t="s">
        <v>146</v>
      </c>
      <c r="Q12" s="1069" t="s">
        <v>147</v>
      </c>
      <c r="R12" s="1069" t="s">
        <v>148</v>
      </c>
      <c r="S12" s="1069" t="s">
        <v>149</v>
      </c>
      <c r="T12" s="1385"/>
      <c r="U12" s="1069" t="s">
        <v>38</v>
      </c>
      <c r="V12" s="1069" t="s">
        <v>146</v>
      </c>
      <c r="W12" s="1069" t="s">
        <v>147</v>
      </c>
      <c r="X12" s="1069" t="s">
        <v>148</v>
      </c>
      <c r="Y12" s="1069" t="s">
        <v>149</v>
      </c>
      <c r="Z12" s="1385"/>
      <c r="AA12" s="1069" t="s">
        <v>38</v>
      </c>
      <c r="AB12" s="1069" t="s">
        <v>146</v>
      </c>
      <c r="AC12" s="1069" t="s">
        <v>147</v>
      </c>
      <c r="AD12" s="1069" t="s">
        <v>148</v>
      </c>
      <c r="AE12" s="1069" t="s">
        <v>149</v>
      </c>
      <c r="AF12" s="1376"/>
    </row>
    <row r="13" spans="2:39" s="3" customFormat="1">
      <c r="B13" s="5"/>
      <c r="C13" s="5" t="s">
        <v>38</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row>
    <row r="14" spans="2:39" s="3" customFormat="1">
      <c r="B14" s="5"/>
      <c r="C14" s="81" t="s">
        <v>33</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row>
    <row r="15" spans="2:39" s="3" customFormat="1" ht="30">
      <c r="B15" s="5"/>
      <c r="C15" s="1329" t="s">
        <v>1264</v>
      </c>
      <c r="D15" s="1330" t="s">
        <v>1267</v>
      </c>
      <c r="E15" s="1330" t="s">
        <v>1265</v>
      </c>
      <c r="F15" s="1330" t="s">
        <v>1266</v>
      </c>
      <c r="G15" s="1329">
        <v>44.82</v>
      </c>
      <c r="H15" s="1331" t="s">
        <v>1287</v>
      </c>
      <c r="I15" s="1332">
        <v>39448</v>
      </c>
      <c r="J15" s="1332">
        <v>39448</v>
      </c>
      <c r="K15" s="1332">
        <v>42077</v>
      </c>
      <c r="L15" s="1332">
        <v>42077</v>
      </c>
      <c r="M15" s="517"/>
      <c r="N15" s="1333">
        <v>88.7</v>
      </c>
      <c r="O15" s="517"/>
      <c r="P15" s="517"/>
      <c r="Q15" s="517"/>
      <c r="R15" s="517"/>
      <c r="S15" s="517"/>
      <c r="T15" s="517"/>
      <c r="U15" s="1334">
        <v>1</v>
      </c>
      <c r="V15" s="517"/>
      <c r="W15" s="517"/>
      <c r="X15" s="517"/>
      <c r="Y15" s="1329"/>
      <c r="Z15" s="1329">
        <v>88.7</v>
      </c>
      <c r="AA15" s="1329"/>
      <c r="AB15" s="1329"/>
      <c r="AC15" s="1329"/>
      <c r="AD15" s="1329"/>
      <c r="AE15" s="1329"/>
      <c r="AF15" s="1329"/>
    </row>
    <row r="16" spans="2:39" s="3" customFormat="1">
      <c r="B16" s="5"/>
      <c r="C16" s="1090"/>
      <c r="D16" s="1091"/>
      <c r="E16" s="1091"/>
      <c r="F16" s="1091"/>
      <c r="G16" s="4"/>
      <c r="H16" s="1100"/>
      <c r="I16" s="1092"/>
      <c r="J16" s="1092"/>
      <c r="K16" s="1092"/>
      <c r="L16" s="1092"/>
      <c r="M16" s="4"/>
      <c r="N16" s="531"/>
      <c r="O16" s="4"/>
      <c r="P16" s="4"/>
      <c r="Q16" s="4"/>
      <c r="R16" s="4"/>
      <c r="S16" s="4"/>
      <c r="T16" s="4"/>
      <c r="U16" s="1101"/>
      <c r="V16" s="4"/>
      <c r="W16" s="4"/>
      <c r="X16" s="4"/>
      <c r="Y16" s="4"/>
      <c r="Z16" s="4"/>
      <c r="AA16" s="4"/>
      <c r="AB16" s="4"/>
      <c r="AC16" s="4"/>
      <c r="AD16" s="4"/>
      <c r="AE16" s="4"/>
      <c r="AF16" s="4"/>
    </row>
    <row r="17" spans="2:32" s="3" customFormat="1">
      <c r="B17" s="5"/>
      <c r="C17" s="5" t="s">
        <v>34</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row>
    <row r="18" spans="2:32" s="3" customFormat="1">
      <c r="B18" s="5"/>
      <c r="C18" s="4" t="s">
        <v>1268</v>
      </c>
      <c r="D18" s="4"/>
      <c r="E18" s="4"/>
      <c r="F18" s="4"/>
      <c r="G18" s="4"/>
      <c r="H18" s="4"/>
      <c r="I18" s="1102"/>
      <c r="J18" s="1102" t="s">
        <v>1288</v>
      </c>
      <c r="K18" s="4"/>
      <c r="L18" s="1103" t="s">
        <v>1289</v>
      </c>
      <c r="M18" s="4"/>
      <c r="O18" s="1401">
        <v>7.84</v>
      </c>
      <c r="P18" s="4"/>
      <c r="Q18" s="4"/>
      <c r="R18" s="4"/>
      <c r="S18" s="4"/>
      <c r="T18" s="4"/>
      <c r="U18" s="4"/>
      <c r="V18" s="1459">
        <v>1</v>
      </c>
      <c r="W18" s="4"/>
      <c r="X18" s="4"/>
      <c r="Y18" s="4"/>
      <c r="Z18" s="4"/>
      <c r="AA18" s="1401">
        <v>7.84</v>
      </c>
      <c r="AB18" s="4"/>
      <c r="AC18" s="4"/>
      <c r="AD18" s="4"/>
      <c r="AE18" s="4"/>
      <c r="AF18" s="4"/>
    </row>
    <row r="19" spans="2:32" s="3" customFormat="1">
      <c r="B19" s="5"/>
      <c r="C19" s="4" t="s">
        <v>946</v>
      </c>
      <c r="D19" s="4"/>
      <c r="E19" s="4"/>
      <c r="F19" s="4"/>
      <c r="G19" s="4"/>
      <c r="H19" s="4"/>
      <c r="I19" s="1102"/>
      <c r="J19" s="1102" t="s">
        <v>1288</v>
      </c>
      <c r="K19" s="4"/>
      <c r="L19" s="1103" t="s">
        <v>1289</v>
      </c>
      <c r="M19" s="4"/>
      <c r="O19" s="1402"/>
      <c r="P19" s="4"/>
      <c r="Q19" s="4"/>
      <c r="R19" s="4"/>
      <c r="S19" s="4"/>
      <c r="T19" s="4"/>
      <c r="U19" s="4"/>
      <c r="V19" s="1460"/>
      <c r="W19" s="4"/>
      <c r="X19" s="4"/>
      <c r="Y19" s="4"/>
      <c r="Z19" s="4"/>
      <c r="AA19" s="1402"/>
      <c r="AB19" s="4"/>
      <c r="AC19" s="4"/>
      <c r="AD19" s="4"/>
      <c r="AE19" s="4"/>
      <c r="AF19" s="4"/>
    </row>
    <row r="20" spans="2:32" s="3" customFormat="1">
      <c r="B20" s="5"/>
      <c r="C20" s="4" t="s">
        <v>1270</v>
      </c>
      <c r="D20" s="4"/>
      <c r="E20" s="4"/>
      <c r="F20" s="4"/>
      <c r="G20" s="4"/>
      <c r="H20" s="4"/>
      <c r="I20" s="1102"/>
      <c r="J20" s="1102" t="s">
        <v>1288</v>
      </c>
      <c r="K20" s="4"/>
      <c r="L20" s="1103" t="s">
        <v>1289</v>
      </c>
      <c r="M20" s="4"/>
      <c r="O20" s="1403"/>
      <c r="P20" s="4"/>
      <c r="Q20" s="4"/>
      <c r="R20" s="4"/>
      <c r="S20" s="4"/>
      <c r="T20" s="4"/>
      <c r="U20" s="4"/>
      <c r="V20" s="1461"/>
      <c r="W20" s="4"/>
      <c r="X20" s="4"/>
      <c r="Y20" s="4"/>
      <c r="Z20" s="4"/>
      <c r="AA20" s="1403"/>
      <c r="AB20" s="4"/>
      <c r="AC20" s="4"/>
      <c r="AD20" s="4"/>
      <c r="AE20" s="4"/>
      <c r="AF20" s="4"/>
    </row>
    <row r="21" spans="2:32" s="3" customFormat="1">
      <c r="B21" s="5"/>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row>
    <row r="22" spans="2:32" s="3" customFormat="1">
      <c r="B22" s="5"/>
      <c r="C22" s="81" t="s">
        <v>146</v>
      </c>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row>
    <row r="23" spans="2:32" s="3" customFormat="1">
      <c r="B23" s="5"/>
      <c r="C23" s="81" t="s">
        <v>33</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row>
    <row r="24" spans="2:32" s="3" customFormat="1">
      <c r="B24" s="5"/>
      <c r="C24" s="4" t="s">
        <v>1271</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row>
    <row r="25" spans="2:32" s="3" customFormat="1">
      <c r="B25" s="5"/>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row>
    <row r="26" spans="2:32" s="3" customFormat="1">
      <c r="B26" s="5"/>
      <c r="C26" s="5" t="s">
        <v>34</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row>
    <row r="27" spans="2:32" s="3" customFormat="1" ht="16.5">
      <c r="B27" s="5"/>
      <c r="C27" s="1093" t="s">
        <v>1272</v>
      </c>
      <c r="D27" s="4"/>
      <c r="E27" s="4"/>
      <c r="F27" s="4"/>
      <c r="G27" s="4"/>
      <c r="H27" s="4"/>
      <c r="I27" s="4"/>
      <c r="J27" s="1092">
        <v>42476</v>
      </c>
      <c r="K27" s="4"/>
      <c r="L27" s="1092">
        <v>42795</v>
      </c>
      <c r="M27" s="4"/>
      <c r="O27" s="4"/>
      <c r="P27" s="531">
        <v>0.12883500000000001</v>
      </c>
      <c r="Q27" s="4"/>
      <c r="R27" s="4"/>
      <c r="S27" s="4"/>
      <c r="T27" s="4"/>
      <c r="U27" s="1101"/>
      <c r="V27" s="4"/>
      <c r="W27" s="1101">
        <v>1</v>
      </c>
      <c r="X27" s="4"/>
      <c r="Y27" s="4"/>
      <c r="Z27" s="4"/>
      <c r="AA27" s="4"/>
      <c r="AB27" s="531">
        <v>0.12883500000000001</v>
      </c>
      <c r="AC27" s="4"/>
      <c r="AD27" s="4"/>
      <c r="AE27" s="4"/>
      <c r="AF27" s="4"/>
    </row>
    <row r="28" spans="2:32" s="3" customFormat="1" ht="16.5">
      <c r="B28" s="5"/>
      <c r="C28" s="1093" t="s">
        <v>1274</v>
      </c>
      <c r="D28" s="4"/>
      <c r="E28" s="4"/>
      <c r="F28" s="4"/>
      <c r="G28" s="4"/>
      <c r="H28" s="4"/>
      <c r="I28" s="4"/>
      <c r="J28" s="1092">
        <v>42476</v>
      </c>
      <c r="K28" s="4"/>
      <c r="L28" s="1092">
        <v>42795</v>
      </c>
      <c r="M28" s="4"/>
      <c r="O28" s="4"/>
      <c r="P28" s="531">
        <v>0.28561310000000001</v>
      </c>
      <c r="Q28" s="4"/>
      <c r="R28" s="4"/>
      <c r="S28" s="4"/>
      <c r="T28" s="4"/>
      <c r="U28" s="1101"/>
      <c r="V28" s="4"/>
      <c r="W28" s="1101">
        <v>1</v>
      </c>
      <c r="X28" s="4"/>
      <c r="Y28" s="4"/>
      <c r="Z28" s="4"/>
      <c r="AA28" s="4"/>
      <c r="AB28" s="531">
        <v>0.28561310000000001</v>
      </c>
      <c r="AC28" s="4"/>
      <c r="AD28" s="4"/>
      <c r="AE28" s="4"/>
      <c r="AF28" s="4"/>
    </row>
    <row r="29" spans="2:32" s="3" customFormat="1" ht="16.5">
      <c r="B29" s="5"/>
      <c r="C29" s="1093" t="s">
        <v>1276</v>
      </c>
      <c r="D29" s="4"/>
      <c r="E29" s="4"/>
      <c r="F29" s="4"/>
      <c r="G29" s="4"/>
      <c r="H29" s="4"/>
      <c r="I29" s="4"/>
      <c r="J29" s="1092">
        <v>42476</v>
      </c>
      <c r="K29" s="4"/>
      <c r="L29" s="1092">
        <v>42795</v>
      </c>
      <c r="M29" s="4"/>
      <c r="O29" s="4"/>
      <c r="P29" s="531">
        <v>3.4765E-3</v>
      </c>
      <c r="Q29" s="4"/>
      <c r="R29" s="4"/>
      <c r="S29" s="4"/>
      <c r="T29" s="4"/>
      <c r="U29" s="1101"/>
      <c r="V29" s="4"/>
      <c r="W29" s="1101">
        <v>1</v>
      </c>
      <c r="X29" s="4"/>
      <c r="Y29" s="4"/>
      <c r="Z29" s="4"/>
      <c r="AA29" s="4"/>
      <c r="AB29" s="531">
        <v>3.4765E-3</v>
      </c>
      <c r="AC29" s="4"/>
      <c r="AD29" s="4"/>
      <c r="AE29" s="4"/>
      <c r="AF29" s="4"/>
    </row>
    <row r="30" spans="2:32" s="3" customFormat="1" ht="16.5">
      <c r="B30" s="5"/>
      <c r="C30" s="1093" t="s">
        <v>1278</v>
      </c>
      <c r="D30" s="4"/>
      <c r="E30" s="4"/>
      <c r="F30" s="4"/>
      <c r="G30" s="4"/>
      <c r="H30" s="4"/>
      <c r="I30" s="4"/>
      <c r="J30" s="1092">
        <v>42476</v>
      </c>
      <c r="K30" s="4"/>
      <c r="L30" s="1092">
        <v>42795</v>
      </c>
      <c r="M30" s="4"/>
      <c r="O30" s="4"/>
      <c r="P30" s="531">
        <v>6.4687499999999995E-2</v>
      </c>
      <c r="Q30" s="4"/>
      <c r="R30" s="4"/>
      <c r="S30" s="4"/>
      <c r="T30" s="4"/>
      <c r="U30" s="1101"/>
      <c r="V30" s="4"/>
      <c r="W30" s="1101">
        <v>1</v>
      </c>
      <c r="X30" s="4"/>
      <c r="Y30" s="4"/>
      <c r="Z30" s="4"/>
      <c r="AA30" s="4"/>
      <c r="AB30" s="531">
        <v>6.4687499999999995E-2</v>
      </c>
      <c r="AC30" s="4"/>
      <c r="AD30" s="4"/>
      <c r="AE30" s="4"/>
      <c r="AF30" s="4"/>
    </row>
    <row r="31" spans="2:32" s="3" customFormat="1" ht="16.5">
      <c r="B31" s="5"/>
      <c r="C31" s="1093" t="s">
        <v>1280</v>
      </c>
      <c r="D31" s="4"/>
      <c r="E31" s="4"/>
      <c r="F31" s="4"/>
      <c r="G31" s="4"/>
      <c r="H31" s="4"/>
      <c r="I31" s="4"/>
      <c r="J31" s="1092">
        <v>42476</v>
      </c>
      <c r="K31" s="4"/>
      <c r="L31" s="1092">
        <v>42795</v>
      </c>
      <c r="M31" s="4"/>
      <c r="O31" s="4"/>
      <c r="P31" s="531">
        <v>6.5005300000000002E-2</v>
      </c>
      <c r="Q31" s="4"/>
      <c r="R31" s="4"/>
      <c r="S31" s="4"/>
      <c r="T31" s="4"/>
      <c r="U31" s="1101"/>
      <c r="V31" s="4"/>
      <c r="W31" s="1101">
        <v>1</v>
      </c>
      <c r="X31" s="4"/>
      <c r="Y31" s="4"/>
      <c r="Z31" s="4"/>
      <c r="AA31" s="4"/>
      <c r="AB31" s="531">
        <v>6.5005300000000002E-2</v>
      </c>
      <c r="AC31" s="4"/>
      <c r="AD31" s="4"/>
      <c r="AE31" s="4"/>
      <c r="AF31" s="4"/>
    </row>
    <row r="32" spans="2:32" s="3" customFormat="1">
      <c r="B32" s="5"/>
      <c r="C32" s="85"/>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row>
    <row r="33" spans="2:32" s="3" customFormat="1">
      <c r="B33" s="5"/>
      <c r="C33" s="81" t="s">
        <v>147</v>
      </c>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row>
    <row r="34" spans="2:32" s="3" customFormat="1">
      <c r="B34" s="5"/>
      <c r="C34" s="81" t="s">
        <v>33</v>
      </c>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row>
    <row r="35" spans="2:32" s="3" customFormat="1">
      <c r="B35" s="5"/>
      <c r="C35" s="4" t="s">
        <v>1271</v>
      </c>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2:32" s="3" customFormat="1">
      <c r="B36" s="5"/>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row>
    <row r="37" spans="2:32" s="3" customFormat="1">
      <c r="B37" s="5"/>
      <c r="C37" s="5" t="s">
        <v>34</v>
      </c>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row>
    <row r="38" spans="2:32" s="3" customFormat="1">
      <c r="B38" s="5"/>
      <c r="C38" s="4" t="s">
        <v>1282</v>
      </c>
      <c r="D38" s="4"/>
      <c r="E38" s="4"/>
      <c r="F38" s="4"/>
      <c r="G38" s="4"/>
      <c r="H38" s="4"/>
      <c r="I38" s="4"/>
      <c r="J38" s="1102" t="s">
        <v>1290</v>
      </c>
      <c r="K38" s="4"/>
      <c r="L38" s="1103" t="s">
        <v>1291</v>
      </c>
      <c r="M38" s="4"/>
      <c r="O38" s="4"/>
      <c r="P38" s="4"/>
      <c r="Q38" s="4">
        <v>0.42</v>
      </c>
      <c r="R38" s="4"/>
      <c r="S38" s="4"/>
      <c r="T38" s="4"/>
      <c r="U38" s="1101"/>
      <c r="V38" s="4"/>
      <c r="W38" s="4"/>
      <c r="X38" s="1101">
        <v>1</v>
      </c>
      <c r="Y38" s="4"/>
      <c r="Z38" s="4"/>
      <c r="AB38" s="4"/>
      <c r="AC38" s="4">
        <v>0.42</v>
      </c>
      <c r="AD38" s="4"/>
      <c r="AE38" s="4"/>
      <c r="AF38" s="4"/>
    </row>
    <row r="39" spans="2:32" s="3" customFormat="1">
      <c r="B39" s="5"/>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row>
    <row r="40" spans="2:32" s="3" customFormat="1">
      <c r="B40" s="5"/>
      <c r="C40" s="81" t="s">
        <v>148</v>
      </c>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row>
    <row r="41" spans="2:32" s="3" customFormat="1">
      <c r="B41" s="5"/>
      <c r="C41" s="81" t="s">
        <v>33</v>
      </c>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row>
    <row r="42" spans="2:32" s="3" customFormat="1">
      <c r="B42" s="5"/>
      <c r="C42" s="4" t="s">
        <v>1271</v>
      </c>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row>
    <row r="43" spans="2:32" s="3" customFormat="1">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row>
    <row r="44" spans="2:32" s="3" customFormat="1">
      <c r="B44" s="5"/>
      <c r="C44" s="5" t="s">
        <v>34</v>
      </c>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row>
    <row r="45" spans="2:32" s="3" customFormat="1">
      <c r="B45" s="5"/>
      <c r="C45" s="4" t="s">
        <v>1283</v>
      </c>
      <c r="D45" s="4"/>
      <c r="E45" s="4"/>
      <c r="F45" s="4"/>
      <c r="G45" s="4"/>
      <c r="H45" s="4"/>
      <c r="I45" s="4"/>
      <c r="J45" s="1092">
        <v>43206</v>
      </c>
      <c r="K45" s="4"/>
      <c r="L45" s="1103" t="s">
        <v>1292</v>
      </c>
      <c r="M45" s="4"/>
      <c r="O45" s="4"/>
      <c r="P45" s="4"/>
      <c r="Q45" s="4"/>
      <c r="R45" s="531">
        <v>0.9</v>
      </c>
      <c r="S45" s="4"/>
      <c r="T45" s="4"/>
      <c r="U45" s="1101"/>
      <c r="V45" s="4"/>
      <c r="W45" s="4"/>
      <c r="X45" s="4"/>
      <c r="Y45" s="1101">
        <v>1</v>
      </c>
      <c r="Z45" s="4"/>
      <c r="AB45" s="4"/>
      <c r="AC45" s="4"/>
      <c r="AD45" s="531">
        <f>0.9</f>
        <v>0.9</v>
      </c>
      <c r="AE45" s="4"/>
      <c r="AF45" s="4"/>
    </row>
    <row r="46" spans="2:32" s="3" customFormat="1">
      <c r="B46" s="5"/>
      <c r="C46" s="81"/>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row>
    <row r="47" spans="2:32" s="3" customFormat="1">
      <c r="B47" s="5"/>
      <c r="C47" s="81" t="s">
        <v>149</v>
      </c>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row>
    <row r="48" spans="2:32" s="3" customFormat="1">
      <c r="B48" s="5"/>
      <c r="C48" s="81" t="s">
        <v>33</v>
      </c>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row>
    <row r="49" spans="2:39" s="3" customFormat="1">
      <c r="B49" s="5"/>
      <c r="C49" s="4" t="s">
        <v>1271</v>
      </c>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row>
    <row r="50" spans="2:39" s="3" customFormat="1">
      <c r="B50" s="5"/>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row>
    <row r="51" spans="2:39" s="3" customFormat="1">
      <c r="B51" s="5"/>
      <c r="C51" s="5" t="s">
        <v>34</v>
      </c>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row>
    <row r="52" spans="2:39" s="3" customFormat="1">
      <c r="B52" s="4"/>
      <c r="C52" s="4" t="s">
        <v>1285</v>
      </c>
      <c r="D52" s="4"/>
      <c r="E52" s="4"/>
      <c r="F52" s="4"/>
      <c r="G52" s="4"/>
      <c r="H52" s="4"/>
      <c r="I52" s="4"/>
      <c r="J52" s="1092">
        <v>43206</v>
      </c>
      <c r="K52" s="4"/>
      <c r="L52" s="1103" t="s">
        <v>1292</v>
      </c>
      <c r="M52" s="4"/>
      <c r="N52" s="4"/>
      <c r="O52" s="4"/>
      <c r="P52" s="4"/>
      <c r="Q52" s="4"/>
      <c r="R52" s="4"/>
      <c r="S52" s="531">
        <v>0.9</v>
      </c>
      <c r="T52" s="4"/>
      <c r="U52" s="1101"/>
      <c r="V52" s="4"/>
      <c r="W52" s="4"/>
      <c r="X52" s="4"/>
      <c r="Y52" s="4"/>
      <c r="Z52" s="1101">
        <v>1</v>
      </c>
      <c r="AA52" s="4"/>
      <c r="AB52" s="4"/>
      <c r="AC52" s="4"/>
      <c r="AD52" s="4"/>
      <c r="AE52" s="531">
        <f>0.9</f>
        <v>0.9</v>
      </c>
      <c r="AF52" s="4"/>
    </row>
    <row r="55" spans="2:39">
      <c r="C55" s="169" t="s">
        <v>257</v>
      </c>
      <c r="D55" s="12"/>
      <c r="E55" s="12"/>
      <c r="F55" s="12"/>
      <c r="G55" s="12"/>
      <c r="H55" s="12"/>
      <c r="I55" s="12"/>
      <c r="J55" s="12"/>
      <c r="K55" s="12"/>
      <c r="L55" s="157"/>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row>
    <row r="56" spans="2:39">
      <c r="C56" s="12"/>
      <c r="D56" s="12"/>
      <c r="E56" s="12"/>
      <c r="F56" s="12"/>
      <c r="G56" s="12"/>
      <c r="H56" s="12"/>
      <c r="I56" s="12"/>
      <c r="J56" s="12"/>
      <c r="K56" s="12"/>
      <c r="L56" s="157"/>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row>
    <row r="57" spans="2:39">
      <c r="C57" s="157" t="s">
        <v>0</v>
      </c>
      <c r="D57" s="157"/>
      <c r="E57" s="157"/>
      <c r="F57" s="157"/>
      <c r="G57" s="157"/>
      <c r="H57" s="157"/>
      <c r="I57" s="157"/>
      <c r="J57" s="157"/>
      <c r="K57" s="157"/>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row>
    <row r="58" spans="2:39">
      <c r="C58" s="12"/>
      <c r="D58" s="12"/>
      <c r="E58" s="12"/>
      <c r="F58" s="12"/>
      <c r="G58" s="12"/>
      <c r="H58" s="12"/>
      <c r="I58" s="12"/>
      <c r="J58" s="12"/>
      <c r="K58" s="12"/>
      <c r="L58" s="12"/>
      <c r="M58" s="9"/>
      <c r="N58" s="9"/>
      <c r="O58" s="9"/>
      <c r="P58" s="9"/>
      <c r="Q58" s="9"/>
      <c r="R58" s="8" t="s">
        <v>16</v>
      </c>
      <c r="V58" s="9"/>
      <c r="W58" s="9"/>
      <c r="X58" s="9"/>
      <c r="Y58" s="9"/>
      <c r="Z58" s="8"/>
      <c r="AA58" s="8"/>
      <c r="AB58" s="9"/>
      <c r="AD58" s="9"/>
      <c r="AE58" s="9"/>
      <c r="AF58" s="348" t="s">
        <v>16</v>
      </c>
      <c r="AG58" s="8"/>
      <c r="AH58" s="8"/>
      <c r="AI58" s="8"/>
      <c r="AJ58" s="9"/>
      <c r="AK58" s="9"/>
      <c r="AL58" s="9"/>
    </row>
    <row r="59" spans="2:39">
      <c r="B59" s="1383" t="s">
        <v>157</v>
      </c>
      <c r="C59" s="1383" t="s">
        <v>26</v>
      </c>
      <c r="D59" s="1383" t="s">
        <v>1</v>
      </c>
      <c r="E59" s="1383" t="s">
        <v>624</v>
      </c>
      <c r="F59" s="1383" t="s">
        <v>625</v>
      </c>
      <c r="G59" s="1383" t="s">
        <v>630</v>
      </c>
      <c r="H59" s="1383" t="s">
        <v>29</v>
      </c>
      <c r="I59" s="1383" t="s">
        <v>631</v>
      </c>
      <c r="J59" s="1383" t="s">
        <v>632</v>
      </c>
      <c r="K59" s="1383" t="s">
        <v>633</v>
      </c>
      <c r="L59" s="1383" t="s">
        <v>634</v>
      </c>
      <c r="M59" s="1383" t="s">
        <v>27</v>
      </c>
      <c r="N59" s="1456" t="s">
        <v>32</v>
      </c>
      <c r="O59" s="1457"/>
      <c r="P59" s="1457"/>
      <c r="Q59" s="1457"/>
      <c r="R59" s="1457"/>
      <c r="S59" s="1458"/>
      <c r="T59" s="1437" t="s">
        <v>30</v>
      </c>
      <c r="U59" s="1438"/>
      <c r="V59" s="1438"/>
      <c r="W59" s="1438"/>
      <c r="X59" s="1438"/>
      <c r="Y59" s="1438"/>
      <c r="Z59" s="1437" t="s">
        <v>28</v>
      </c>
      <c r="AA59" s="1438"/>
      <c r="AB59" s="1438"/>
      <c r="AC59" s="1438"/>
      <c r="AD59" s="1438"/>
      <c r="AE59" s="1438"/>
      <c r="AF59" s="1376" t="s">
        <v>635</v>
      </c>
    </row>
    <row r="60" spans="2:39" ht="28.5">
      <c r="B60" s="1384"/>
      <c r="C60" s="1384"/>
      <c r="D60" s="1384"/>
      <c r="E60" s="1384"/>
      <c r="F60" s="1384"/>
      <c r="G60" s="1384"/>
      <c r="H60" s="1384"/>
      <c r="I60" s="1384"/>
      <c r="J60" s="1384"/>
      <c r="K60" s="1384"/>
      <c r="L60" s="1384"/>
      <c r="M60" s="1384"/>
      <c r="N60" s="1383" t="s">
        <v>730</v>
      </c>
      <c r="O60" s="1071" t="s">
        <v>12</v>
      </c>
      <c r="P60" s="1071" t="s">
        <v>12</v>
      </c>
      <c r="Q60" s="1071" t="s">
        <v>688</v>
      </c>
      <c r="R60" s="1071" t="s">
        <v>689</v>
      </c>
      <c r="S60" s="1071" t="s">
        <v>689</v>
      </c>
      <c r="T60" s="1383" t="s">
        <v>735</v>
      </c>
      <c r="U60" s="1071" t="s">
        <v>12</v>
      </c>
      <c r="V60" s="1071" t="s">
        <v>12</v>
      </c>
      <c r="W60" s="1071" t="s">
        <v>688</v>
      </c>
      <c r="X60" s="1071" t="s">
        <v>689</v>
      </c>
      <c r="Y60" s="1071" t="s">
        <v>689</v>
      </c>
      <c r="Z60" s="1383" t="s">
        <v>736</v>
      </c>
      <c r="AA60" s="1071" t="s">
        <v>12</v>
      </c>
      <c r="AB60" s="1071" t="s">
        <v>12</v>
      </c>
      <c r="AC60" s="1071" t="s">
        <v>688</v>
      </c>
      <c r="AD60" s="1071" t="s">
        <v>689</v>
      </c>
      <c r="AE60" s="1071" t="s">
        <v>689</v>
      </c>
      <c r="AF60" s="1376"/>
    </row>
    <row r="61" spans="2:39">
      <c r="B61" s="1385"/>
      <c r="C61" s="1385"/>
      <c r="D61" s="1385"/>
      <c r="E61" s="1385"/>
      <c r="F61" s="1385"/>
      <c r="G61" s="1385"/>
      <c r="H61" s="1385"/>
      <c r="I61" s="1385"/>
      <c r="J61" s="1385"/>
      <c r="K61" s="1385"/>
      <c r="L61" s="1385"/>
      <c r="M61" s="1385"/>
      <c r="N61" s="1385"/>
      <c r="O61" s="1069" t="s">
        <v>38</v>
      </c>
      <c r="P61" s="1069" t="s">
        <v>146</v>
      </c>
      <c r="Q61" s="1069" t="s">
        <v>147</v>
      </c>
      <c r="R61" s="1069" t="s">
        <v>148</v>
      </c>
      <c r="S61" s="1069" t="s">
        <v>149</v>
      </c>
      <c r="T61" s="1385"/>
      <c r="U61" s="1069" t="s">
        <v>38</v>
      </c>
      <c r="V61" s="1069" t="s">
        <v>146</v>
      </c>
      <c r="W61" s="1069" t="s">
        <v>147</v>
      </c>
      <c r="X61" s="1069" t="s">
        <v>148</v>
      </c>
      <c r="Y61" s="1069" t="s">
        <v>149</v>
      </c>
      <c r="Z61" s="1385"/>
      <c r="AA61" s="1069" t="s">
        <v>38</v>
      </c>
      <c r="AB61" s="1069" t="s">
        <v>146</v>
      </c>
      <c r="AC61" s="1069" t="s">
        <v>147</v>
      </c>
      <c r="AD61" s="1069" t="s">
        <v>148</v>
      </c>
      <c r="AE61" s="1069" t="s">
        <v>149</v>
      </c>
      <c r="AF61" s="1376"/>
    </row>
    <row r="62" spans="2:39" s="3" customFormat="1">
      <c r="B62" s="5"/>
      <c r="C62" s="5" t="s">
        <v>38</v>
      </c>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row>
    <row r="63" spans="2:39" s="3" customFormat="1">
      <c r="B63" s="5"/>
      <c r="C63" s="81" t="s">
        <v>33</v>
      </c>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row>
    <row r="64" spans="2:39" s="3" customFormat="1">
      <c r="B64" s="5"/>
      <c r="C64" s="83" t="s">
        <v>35</v>
      </c>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row>
    <row r="65" spans="2:32" s="3" customFormat="1">
      <c r="B65" s="5"/>
      <c r="C65" s="4" t="s">
        <v>37</v>
      </c>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row>
    <row r="66" spans="2:32" s="3" customFormat="1">
      <c r="B66" s="5"/>
      <c r="C66" s="4" t="s">
        <v>37</v>
      </c>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row>
    <row r="67" spans="2:32" s="3" customFormat="1">
      <c r="B67" s="5"/>
      <c r="C67" s="83" t="s">
        <v>36</v>
      </c>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row>
    <row r="68" spans="2:32" s="3" customFormat="1">
      <c r="B68" s="5"/>
      <c r="C68" s="4" t="s">
        <v>37</v>
      </c>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row>
    <row r="69" spans="2:32" s="3" customFormat="1">
      <c r="B69" s="5"/>
      <c r="C69" s="4" t="s">
        <v>37</v>
      </c>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row>
    <row r="70" spans="2:32" s="3" customFormat="1">
      <c r="B70" s="5"/>
      <c r="C70" s="5" t="s">
        <v>34</v>
      </c>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row>
    <row r="71" spans="2:32" s="3" customFormat="1">
      <c r="B71" s="5"/>
      <c r="C71" s="4" t="s">
        <v>37</v>
      </c>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row>
    <row r="72" spans="2:32" s="3" customFormat="1">
      <c r="B72" s="5"/>
      <c r="C72" s="4" t="s">
        <v>37</v>
      </c>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row>
    <row r="73" spans="2:32" s="3" customFormat="1">
      <c r="B73" s="5"/>
      <c r="C73" s="85"/>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row>
    <row r="74" spans="2:32" s="3" customFormat="1">
      <c r="B74" s="5"/>
      <c r="C74" s="81" t="s">
        <v>146</v>
      </c>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row>
    <row r="75" spans="2:32" s="3" customFormat="1">
      <c r="B75" s="5"/>
      <c r="C75" s="81" t="s">
        <v>33</v>
      </c>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row>
    <row r="76" spans="2:32" s="3" customFormat="1">
      <c r="B76" s="5"/>
      <c r="C76" s="83" t="s">
        <v>35</v>
      </c>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row>
    <row r="77" spans="2:32" s="3" customFormat="1">
      <c r="B77" s="5"/>
      <c r="C77" s="4" t="s">
        <v>37</v>
      </c>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row>
    <row r="78" spans="2:32" s="3" customFormat="1">
      <c r="B78" s="5"/>
      <c r="C78" s="4" t="s">
        <v>37</v>
      </c>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row>
    <row r="79" spans="2:32" s="3" customFormat="1">
      <c r="B79" s="5"/>
      <c r="C79" s="83" t="s">
        <v>36</v>
      </c>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row>
    <row r="80" spans="2:32" s="3" customFormat="1">
      <c r="B80" s="5"/>
      <c r="C80" s="4" t="s">
        <v>37</v>
      </c>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row>
    <row r="81" spans="2:32" s="3" customFormat="1">
      <c r="B81" s="5"/>
      <c r="C81" s="4" t="s">
        <v>37</v>
      </c>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row>
    <row r="82" spans="2:32" s="3" customFormat="1">
      <c r="B82" s="5"/>
      <c r="C82" s="5" t="s">
        <v>34</v>
      </c>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row>
    <row r="83" spans="2:32" s="3" customFormat="1">
      <c r="B83" s="5"/>
      <c r="C83" s="4" t="s">
        <v>37</v>
      </c>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row>
    <row r="84" spans="2:32" s="3" customFormat="1">
      <c r="B84" s="5"/>
      <c r="C84" s="4" t="s">
        <v>37</v>
      </c>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row>
    <row r="85" spans="2:32" s="3" customFormat="1">
      <c r="B85" s="5"/>
      <c r="C85" s="85"/>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row>
    <row r="86" spans="2:32" s="3" customFormat="1">
      <c r="B86" s="5"/>
      <c r="C86" s="81" t="s">
        <v>147</v>
      </c>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row>
    <row r="87" spans="2:32" s="3" customFormat="1">
      <c r="B87" s="5"/>
      <c r="C87" s="81" t="s">
        <v>33</v>
      </c>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row>
    <row r="88" spans="2:32" s="3" customFormat="1">
      <c r="B88" s="5"/>
      <c r="C88" s="83" t="s">
        <v>35</v>
      </c>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row>
    <row r="89" spans="2:32" s="3" customFormat="1">
      <c r="B89" s="5"/>
      <c r="C89" s="4" t="s">
        <v>37</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row>
    <row r="90" spans="2:32" s="3" customFormat="1">
      <c r="B90" s="5"/>
      <c r="C90" s="4" t="s">
        <v>37</v>
      </c>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row>
    <row r="91" spans="2:32" s="3" customFormat="1">
      <c r="B91" s="5"/>
      <c r="C91" s="83" t="s">
        <v>36</v>
      </c>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row>
    <row r="92" spans="2:32" s="3" customFormat="1">
      <c r="B92" s="5"/>
      <c r="C92" s="4" t="s">
        <v>37</v>
      </c>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row>
    <row r="93" spans="2:32" s="3" customFormat="1">
      <c r="B93" s="5"/>
      <c r="C93" s="4" t="s">
        <v>37</v>
      </c>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row>
    <row r="94" spans="2:32" s="3" customFormat="1">
      <c r="B94" s="5"/>
      <c r="C94" s="5" t="s">
        <v>34</v>
      </c>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row>
    <row r="95" spans="2:32" s="3" customFormat="1">
      <c r="B95" s="5"/>
      <c r="C95" s="4" t="s">
        <v>37</v>
      </c>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row>
    <row r="96" spans="2:32" s="3" customFormat="1">
      <c r="B96" s="5"/>
      <c r="C96" s="4" t="s">
        <v>37</v>
      </c>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row>
    <row r="97" spans="2:32" s="3" customFormat="1">
      <c r="B97" s="5"/>
      <c r="C97" s="85"/>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row>
    <row r="98" spans="2:32" s="3" customFormat="1">
      <c r="B98" s="5"/>
      <c r="C98" s="81" t="s">
        <v>148</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row>
    <row r="99" spans="2:32" s="3" customFormat="1">
      <c r="B99" s="5"/>
      <c r="C99" s="4" t="s">
        <v>37</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row>
    <row r="100" spans="2:32" s="3" customFormat="1">
      <c r="B100" s="5"/>
      <c r="C100" s="4" t="s">
        <v>37</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row>
    <row r="101" spans="2:32" s="3" customFormat="1">
      <c r="B101" s="5"/>
      <c r="C101" s="85"/>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row>
    <row r="102" spans="2:32" s="3" customFormat="1">
      <c r="B102" s="5"/>
      <c r="C102" s="81" t="s">
        <v>149</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row>
    <row r="103" spans="2:32" s="3" customFormat="1">
      <c r="B103" s="5"/>
      <c r="C103" s="4" t="s">
        <v>37</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row>
    <row r="104" spans="2:32" s="3" customFormat="1">
      <c r="B104" s="5"/>
      <c r="C104" s="4" t="s">
        <v>37</v>
      </c>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row>
    <row r="105" spans="2:32" s="3" customFormat="1">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row>
    <row r="106" spans="2:32">
      <c r="B106" s="2"/>
      <c r="C106" s="215" t="s">
        <v>5</v>
      </c>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sheetData>
  <mergeCells count="41">
    <mergeCell ref="G10:G12"/>
    <mergeCell ref="H10:H12"/>
    <mergeCell ref="I10:I12"/>
    <mergeCell ref="J10:J12"/>
    <mergeCell ref="K10:K12"/>
    <mergeCell ref="B10:B12"/>
    <mergeCell ref="C10:C12"/>
    <mergeCell ref="D10:D12"/>
    <mergeCell ref="E10:E12"/>
    <mergeCell ref="F10:F12"/>
    <mergeCell ref="Z10:AE10"/>
    <mergeCell ref="AF10:AF12"/>
    <mergeCell ref="N11:N12"/>
    <mergeCell ref="T11:T12"/>
    <mergeCell ref="Z11:Z12"/>
    <mergeCell ref="L59:L61"/>
    <mergeCell ref="M59:M61"/>
    <mergeCell ref="T59:Y59"/>
    <mergeCell ref="N10:S10"/>
    <mergeCell ref="T10:Y10"/>
    <mergeCell ref="M10:M12"/>
    <mergeCell ref="L10:L12"/>
    <mergeCell ref="V18:V20"/>
    <mergeCell ref="O18:O20"/>
    <mergeCell ref="G59:G61"/>
    <mergeCell ref="H59:H61"/>
    <mergeCell ref="I59:I61"/>
    <mergeCell ref="J59:J61"/>
    <mergeCell ref="K59:K61"/>
    <mergeCell ref="B59:B61"/>
    <mergeCell ref="C59:C61"/>
    <mergeCell ref="D59:D61"/>
    <mergeCell ref="E59:E61"/>
    <mergeCell ref="F59:F61"/>
    <mergeCell ref="AA18:AA20"/>
    <mergeCell ref="Z59:AE59"/>
    <mergeCell ref="AF59:AF61"/>
    <mergeCell ref="N60:N61"/>
    <mergeCell ref="T60:T61"/>
    <mergeCell ref="Z60:Z61"/>
    <mergeCell ref="N59:S59"/>
  </mergeCells>
  <printOptions verticalCentered="1"/>
  <pageMargins left="0" right="0" top="0.23622047244094491" bottom="0.23622047244094491" header="0.23622047244094491" footer="0.23622047244094491"/>
  <pageSetup paperSize="9" scale="26" fitToHeight="2" orientation="landscape" r:id="rId1"/>
  <headerFooter alignWithMargins="0">
    <oddHeader>&amp;F</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sheetPr>
  <dimension ref="B1:AB104"/>
  <sheetViews>
    <sheetView showGridLines="0" view="pageBreakPreview" zoomScale="60" zoomScaleNormal="50" workbookViewId="0">
      <selection activeCell="I16" sqref="I16"/>
    </sheetView>
  </sheetViews>
  <sheetFormatPr defaultColWidth="9.140625" defaultRowHeight="15"/>
  <cols>
    <col min="1" max="1" width="4.5703125" style="1" customWidth="1"/>
    <col min="2" max="2" width="8.28515625" style="1" customWidth="1"/>
    <col min="3" max="3" width="46.42578125" style="1" customWidth="1"/>
    <col min="4" max="7" width="17.85546875" style="1" customWidth="1"/>
    <col min="8" max="8" width="16.7109375" style="1" customWidth="1"/>
    <col min="9" max="10" width="15.5703125" style="1" customWidth="1"/>
    <col min="11" max="11" width="15.28515625" style="1" customWidth="1"/>
    <col min="12" max="12" width="14.42578125" style="1" customWidth="1"/>
    <col min="13" max="13" width="14.7109375" style="1" customWidth="1"/>
    <col min="14" max="14" width="16.85546875" style="1" customWidth="1"/>
    <col min="15" max="15" width="13.28515625" style="1" customWidth="1"/>
    <col min="16" max="16" width="14.85546875" style="1" customWidth="1"/>
    <col min="17" max="17" width="12.85546875" style="1" customWidth="1"/>
    <col min="18" max="18" width="14.42578125" style="1" customWidth="1"/>
    <col min="19" max="19" width="16" style="1" customWidth="1"/>
    <col min="20" max="20" width="12.7109375" style="1" customWidth="1"/>
    <col min="21" max="21" width="14" style="1" customWidth="1"/>
    <col min="22" max="24" width="12.7109375" style="1" customWidth="1"/>
    <col min="25" max="25" width="15.28515625" style="1" customWidth="1"/>
    <col min="26" max="26" width="12.5703125" style="1" customWidth="1"/>
    <col min="27" max="27" width="13.42578125" style="1" customWidth="1"/>
    <col min="28" max="28" width="13.5703125" style="1" customWidth="1"/>
    <col min="29" max="31" width="9.140625" style="1"/>
    <col min="32" max="32" width="11.28515625" style="1" customWidth="1"/>
    <col min="33" max="16384" width="9.140625" style="1"/>
  </cols>
  <sheetData>
    <row r="1" spans="2:28" ht="15.75" customHeight="1"/>
    <row r="2" spans="2:28" ht="15" customHeight="1">
      <c r="C2" s="291"/>
      <c r="D2" s="291"/>
      <c r="E2" s="291"/>
      <c r="F2" s="291"/>
      <c r="G2" s="291"/>
      <c r="H2" s="214" t="s">
        <v>906</v>
      </c>
      <c r="I2" s="291"/>
      <c r="J2" s="291"/>
      <c r="K2" s="291"/>
      <c r="L2" s="291"/>
      <c r="M2" s="214"/>
      <c r="N2" s="214"/>
      <c r="O2" s="214"/>
    </row>
    <row r="3" spans="2:28" ht="15" customHeight="1">
      <c r="C3" s="240"/>
      <c r="D3" s="240"/>
      <c r="E3" s="240"/>
      <c r="F3" s="240"/>
      <c r="G3" s="240"/>
      <c r="H3" s="1073" t="s">
        <v>724</v>
      </c>
      <c r="I3" s="240"/>
      <c r="J3" s="240"/>
      <c r="K3" s="240"/>
      <c r="L3" s="240"/>
      <c r="M3" s="189"/>
      <c r="N3" s="189"/>
      <c r="O3" s="189"/>
    </row>
    <row r="4" spans="2:28" ht="15" customHeight="1">
      <c r="C4" s="292"/>
      <c r="D4" s="292"/>
      <c r="E4" s="292"/>
      <c r="F4" s="292"/>
      <c r="G4" s="292"/>
      <c r="H4" s="293" t="s">
        <v>569</v>
      </c>
      <c r="I4" s="292"/>
      <c r="J4" s="292"/>
      <c r="K4" s="292"/>
      <c r="L4" s="292"/>
      <c r="M4" s="343"/>
      <c r="N4" s="343"/>
      <c r="O4" s="343"/>
    </row>
    <row r="5" spans="2:28">
      <c r="C5" s="12"/>
      <c r="D5" s="12"/>
      <c r="E5" s="12"/>
      <c r="F5" s="12"/>
      <c r="G5" s="12"/>
      <c r="H5" s="157"/>
      <c r="I5" s="9"/>
      <c r="J5" s="9"/>
      <c r="K5" s="9"/>
      <c r="L5" s="9"/>
      <c r="M5" s="9"/>
      <c r="N5" s="9"/>
      <c r="O5" s="9"/>
      <c r="P5" s="9"/>
      <c r="Q5" s="9"/>
      <c r="R5" s="9"/>
      <c r="S5" s="9"/>
      <c r="T5" s="9"/>
      <c r="U5" s="9"/>
      <c r="V5" s="9"/>
      <c r="W5" s="9"/>
      <c r="X5" s="9"/>
      <c r="Y5" s="9"/>
      <c r="Z5" s="9"/>
      <c r="AA5" s="9"/>
      <c r="AB5" s="9"/>
    </row>
    <row r="6" spans="2:28">
      <c r="C6" s="169" t="s">
        <v>1293</v>
      </c>
      <c r="D6" s="12"/>
      <c r="E6" s="12"/>
      <c r="F6" s="12"/>
      <c r="G6" s="12"/>
      <c r="H6" s="157"/>
      <c r="I6" s="9"/>
      <c r="J6" s="9"/>
      <c r="K6" s="9"/>
      <c r="L6" s="9"/>
      <c r="M6" s="9"/>
      <c r="N6" s="9"/>
      <c r="O6" s="9"/>
      <c r="P6" s="9"/>
      <c r="Q6" s="9"/>
      <c r="R6" s="9"/>
      <c r="S6" s="9"/>
      <c r="T6" s="9"/>
      <c r="U6" s="9"/>
      <c r="V6" s="9"/>
      <c r="W6" s="9"/>
      <c r="X6" s="9"/>
      <c r="Y6" s="9"/>
      <c r="Z6" s="9"/>
      <c r="AA6" s="9"/>
      <c r="AB6" s="9"/>
    </row>
    <row r="7" spans="2:28">
      <c r="C7" s="169"/>
      <c r="D7" s="12"/>
      <c r="E7" s="12"/>
      <c r="F7" s="12"/>
      <c r="G7" s="12"/>
      <c r="H7" s="157"/>
      <c r="I7" s="9"/>
      <c r="J7" s="9"/>
      <c r="K7" s="9"/>
      <c r="L7" s="9"/>
      <c r="M7" s="9"/>
      <c r="N7" s="9"/>
      <c r="O7" s="9"/>
      <c r="P7" s="9"/>
      <c r="Q7" s="9"/>
      <c r="R7" s="9"/>
      <c r="S7" s="9"/>
      <c r="T7" s="9"/>
      <c r="U7" s="9"/>
      <c r="V7" s="9"/>
      <c r="W7" s="9"/>
      <c r="X7" s="9"/>
      <c r="Y7" s="9"/>
      <c r="Z7" s="9"/>
      <c r="AA7" s="9"/>
      <c r="AB7" s="9"/>
    </row>
    <row r="8" spans="2:28" ht="15.75" customHeight="1">
      <c r="C8" s="157" t="s">
        <v>0</v>
      </c>
      <c r="D8" s="157"/>
      <c r="E8" s="157"/>
      <c r="F8" s="157"/>
      <c r="G8" s="157"/>
      <c r="I8" s="9"/>
      <c r="J8" s="9"/>
      <c r="K8" s="9"/>
      <c r="L8" s="9"/>
      <c r="M8" s="9"/>
      <c r="N8" s="9"/>
      <c r="O8" s="9"/>
      <c r="P8" s="9"/>
      <c r="Q8" s="9"/>
      <c r="R8" s="9"/>
      <c r="S8" s="9"/>
      <c r="T8" s="9"/>
      <c r="U8" s="9"/>
      <c r="V8" s="9"/>
      <c r="W8" s="9"/>
      <c r="X8" s="9"/>
      <c r="Y8" s="9"/>
      <c r="Z8" s="9"/>
      <c r="AA8" s="9"/>
      <c r="AB8" s="9"/>
    </row>
    <row r="9" spans="2:28">
      <c r="C9" s="12"/>
      <c r="D9" s="12"/>
      <c r="E9" s="12"/>
      <c r="F9" s="12"/>
      <c r="G9" s="12"/>
      <c r="H9" s="12"/>
      <c r="I9" s="9"/>
      <c r="J9" s="9"/>
      <c r="K9" s="9"/>
      <c r="L9" s="9"/>
      <c r="M9" s="9"/>
      <c r="O9" s="8" t="s">
        <v>16</v>
      </c>
      <c r="P9" s="9"/>
      <c r="Q9" s="9"/>
      <c r="T9" s="8"/>
      <c r="U9" s="8"/>
      <c r="V9" s="8"/>
      <c r="W9" s="8"/>
      <c r="X9" s="8"/>
      <c r="Y9" s="9"/>
      <c r="Z9" s="9"/>
      <c r="AA9" s="9"/>
    </row>
    <row r="10" spans="2:28">
      <c r="B10" s="1376" t="s">
        <v>157</v>
      </c>
      <c r="C10" s="1376" t="s">
        <v>26</v>
      </c>
      <c r="D10" s="1376" t="s">
        <v>624</v>
      </c>
      <c r="E10" s="1376" t="s">
        <v>625</v>
      </c>
      <c r="F10" s="1376" t="s">
        <v>560</v>
      </c>
      <c r="G10" s="1376" t="s">
        <v>636</v>
      </c>
      <c r="H10" s="1376" t="s">
        <v>637</v>
      </c>
      <c r="I10" s="1376" t="s">
        <v>561</v>
      </c>
      <c r="J10" s="1376" t="s">
        <v>562</v>
      </c>
      <c r="K10" s="1376" t="s">
        <v>563</v>
      </c>
      <c r="L10" s="1376"/>
      <c r="M10" s="1376"/>
      <c r="N10" s="1376"/>
      <c r="O10" s="1376" t="s">
        <v>564</v>
      </c>
    </row>
    <row r="11" spans="2:28">
      <c r="B11" s="1376"/>
      <c r="C11" s="1376"/>
      <c r="D11" s="1376"/>
      <c r="E11" s="1376"/>
      <c r="F11" s="1376"/>
      <c r="G11" s="1376"/>
      <c r="H11" s="1376"/>
      <c r="I11" s="1376"/>
      <c r="J11" s="1376"/>
      <c r="K11" s="1376"/>
      <c r="L11" s="1376"/>
      <c r="M11" s="1376"/>
      <c r="N11" s="1376"/>
      <c r="O11" s="1376"/>
    </row>
    <row r="12" spans="2:28" ht="28.5">
      <c r="B12" s="1376"/>
      <c r="C12" s="1376"/>
      <c r="D12" s="1376"/>
      <c r="E12" s="1376"/>
      <c r="F12" s="1376"/>
      <c r="G12" s="1376"/>
      <c r="H12" s="1376"/>
      <c r="I12" s="1376"/>
      <c r="J12" s="1376"/>
      <c r="K12" s="1071" t="s">
        <v>565</v>
      </c>
      <c r="L12" s="1071" t="s">
        <v>566</v>
      </c>
      <c r="M12" s="1071" t="s">
        <v>567</v>
      </c>
      <c r="N12" s="1071" t="s">
        <v>568</v>
      </c>
      <c r="O12" s="1376"/>
    </row>
    <row r="13" spans="2:28" s="3" customFormat="1">
      <c r="B13" s="5"/>
      <c r="C13" s="5" t="s">
        <v>38</v>
      </c>
      <c r="D13" s="5"/>
      <c r="E13" s="5"/>
      <c r="F13" s="4"/>
      <c r="G13" s="4"/>
      <c r="H13" s="4"/>
      <c r="I13" s="4"/>
      <c r="J13" s="4"/>
      <c r="K13" s="4"/>
      <c r="L13" s="4"/>
      <c r="M13" s="4"/>
      <c r="N13" s="4"/>
      <c r="O13" s="4"/>
    </row>
    <row r="14" spans="2:28" s="3" customFormat="1">
      <c r="B14" s="5"/>
      <c r="C14" s="81" t="s">
        <v>33</v>
      </c>
      <c r="D14" s="81"/>
      <c r="E14" s="81"/>
      <c r="F14" s="4"/>
      <c r="G14" s="4"/>
      <c r="H14" s="4"/>
      <c r="I14" s="4"/>
      <c r="J14" s="4"/>
      <c r="K14" s="4"/>
      <c r="L14" s="4"/>
      <c r="M14" s="4"/>
      <c r="N14" s="4"/>
      <c r="O14" s="4"/>
    </row>
    <row r="15" spans="2:28" s="3" customFormat="1" ht="30">
      <c r="B15" s="5"/>
      <c r="C15" s="1329" t="s">
        <v>1264</v>
      </c>
      <c r="D15" s="1091" t="s">
        <v>1265</v>
      </c>
      <c r="E15" s="1091" t="s">
        <v>1266</v>
      </c>
      <c r="F15" s="560">
        <v>44.82</v>
      </c>
      <c r="G15" s="560">
        <v>88.7</v>
      </c>
      <c r="H15" s="560">
        <v>88.7</v>
      </c>
      <c r="I15" s="560">
        <v>0</v>
      </c>
      <c r="J15" s="560">
        <v>0</v>
      </c>
      <c r="K15" s="560">
        <v>0</v>
      </c>
      <c r="L15" s="560">
        <v>0</v>
      </c>
      <c r="M15" s="560">
        <v>0</v>
      </c>
      <c r="N15" s="560">
        <f>+SUM(K15:M15)</f>
        <v>0</v>
      </c>
      <c r="O15" s="560">
        <f>+I15+J15-N15</f>
        <v>0</v>
      </c>
    </row>
    <row r="16" spans="2:28" s="3" customFormat="1">
      <c r="B16" s="5"/>
      <c r="C16" s="1090"/>
      <c r="D16" s="4"/>
      <c r="E16" s="4"/>
      <c r="F16" s="4"/>
      <c r="G16" s="4"/>
      <c r="H16" s="4"/>
      <c r="I16" s="4"/>
      <c r="J16" s="4"/>
      <c r="K16" s="4"/>
      <c r="L16" s="4"/>
      <c r="M16" s="4"/>
      <c r="N16" s="4"/>
      <c r="O16" s="4"/>
    </row>
    <row r="17" spans="2:15" s="3" customFormat="1">
      <c r="B17" s="5"/>
      <c r="C17" s="5" t="s">
        <v>34</v>
      </c>
      <c r="D17" s="4"/>
      <c r="E17" s="4"/>
      <c r="F17" s="4"/>
      <c r="G17" s="4"/>
      <c r="H17" s="4"/>
      <c r="I17" s="4"/>
      <c r="J17" s="4"/>
      <c r="K17" s="4"/>
      <c r="L17" s="4"/>
      <c r="M17" s="4"/>
      <c r="N17" s="4"/>
      <c r="O17" s="4"/>
    </row>
    <row r="18" spans="2:15" s="3" customFormat="1">
      <c r="B18" s="5"/>
      <c r="C18" s="4" t="s">
        <v>1268</v>
      </c>
      <c r="D18" s="83"/>
      <c r="E18" s="83"/>
      <c r="F18" s="698">
        <v>0</v>
      </c>
      <c r="G18" s="1412">
        <v>0</v>
      </c>
      <c r="H18" s="1462">
        <v>7.84</v>
      </c>
      <c r="I18" s="1462">
        <v>0</v>
      </c>
      <c r="J18" s="1462">
        <v>7.84</v>
      </c>
      <c r="K18" s="1462">
        <v>7.84</v>
      </c>
      <c r="L18" s="1462">
        <v>0</v>
      </c>
      <c r="M18" s="1462">
        <v>0</v>
      </c>
      <c r="N18" s="1462">
        <f>+SUM(K18:M20)</f>
        <v>7.84</v>
      </c>
      <c r="O18" s="1462">
        <f>+I18+J18-N18</f>
        <v>0</v>
      </c>
    </row>
    <row r="19" spans="2:15" s="3" customFormat="1">
      <c r="B19" s="5"/>
      <c r="C19" s="4" t="s">
        <v>946</v>
      </c>
      <c r="D19" s="4"/>
      <c r="E19" s="4"/>
      <c r="F19" s="698">
        <v>0</v>
      </c>
      <c r="G19" s="1413"/>
      <c r="H19" s="1463"/>
      <c r="I19" s="1463"/>
      <c r="J19" s="1463"/>
      <c r="K19" s="1463"/>
      <c r="L19" s="1463"/>
      <c r="M19" s="1463"/>
      <c r="N19" s="1463"/>
      <c r="O19" s="1463"/>
    </row>
    <row r="20" spans="2:15" s="3" customFormat="1">
      <c r="B20" s="5"/>
      <c r="C20" s="4" t="s">
        <v>1270</v>
      </c>
      <c r="D20" s="4"/>
      <c r="E20" s="4"/>
      <c r="F20" s="698">
        <v>0</v>
      </c>
      <c r="G20" s="1414"/>
      <c r="H20" s="1464"/>
      <c r="I20" s="1464"/>
      <c r="J20" s="1464"/>
      <c r="K20" s="1464"/>
      <c r="L20" s="1464"/>
      <c r="M20" s="1464"/>
      <c r="N20" s="1464"/>
      <c r="O20" s="1464"/>
    </row>
    <row r="21" spans="2:15" s="3" customFormat="1">
      <c r="B21" s="5"/>
      <c r="C21" s="4"/>
      <c r="D21" s="5"/>
      <c r="E21" s="5"/>
      <c r="F21" s="4"/>
      <c r="G21" s="4"/>
      <c r="H21" s="4"/>
      <c r="I21" s="4"/>
      <c r="J21" s="4"/>
      <c r="K21" s="4"/>
      <c r="L21" s="4"/>
      <c r="M21" s="4"/>
      <c r="N21" s="4"/>
      <c r="O21" s="4"/>
    </row>
    <row r="22" spans="2:15" s="3" customFormat="1">
      <c r="B22" s="5"/>
      <c r="C22" s="81" t="s">
        <v>146</v>
      </c>
      <c r="D22" s="4"/>
      <c r="E22" s="4"/>
      <c r="F22" s="4"/>
      <c r="G22" s="4"/>
      <c r="H22" s="4"/>
      <c r="I22" s="4"/>
      <c r="J22" s="4"/>
      <c r="K22" s="4"/>
      <c r="L22" s="4"/>
      <c r="M22" s="4"/>
      <c r="N22" s="4"/>
      <c r="O22" s="4"/>
    </row>
    <row r="23" spans="2:15" s="3" customFormat="1">
      <c r="B23" s="5"/>
      <c r="C23" s="81" t="s">
        <v>33</v>
      </c>
      <c r="D23" s="4"/>
      <c r="E23" s="4"/>
      <c r="F23" s="4"/>
      <c r="G23" s="4"/>
      <c r="H23" s="4"/>
      <c r="I23" s="4"/>
      <c r="J23" s="4"/>
      <c r="K23" s="4"/>
      <c r="L23" s="4"/>
      <c r="M23" s="4"/>
      <c r="N23" s="4"/>
      <c r="O23" s="4"/>
    </row>
    <row r="24" spans="2:15" s="3" customFormat="1">
      <c r="B24" s="5"/>
      <c r="C24" s="4" t="s">
        <v>1271</v>
      </c>
      <c r="D24" s="85"/>
      <c r="E24" s="85"/>
      <c r="F24" s="698">
        <v>0</v>
      </c>
      <c r="G24" s="698">
        <v>0</v>
      </c>
      <c r="H24" s="698">
        <v>0</v>
      </c>
      <c r="I24" s="698">
        <v>0</v>
      </c>
      <c r="J24" s="698">
        <v>0</v>
      </c>
      <c r="K24" s="698">
        <v>0</v>
      </c>
      <c r="L24" s="698">
        <v>0</v>
      </c>
      <c r="M24" s="698">
        <v>0</v>
      </c>
      <c r="N24" s="560">
        <f t="shared" ref="N24" si="0">+SUM(K24:M24)</f>
        <v>0</v>
      </c>
      <c r="O24" s="560">
        <f t="shared" ref="O24" si="1">+I24+J24-N24</f>
        <v>0</v>
      </c>
    </row>
    <row r="25" spans="2:15" s="3" customFormat="1">
      <c r="B25" s="5"/>
      <c r="C25" s="4"/>
      <c r="D25" s="81"/>
      <c r="E25" s="81"/>
      <c r="F25" s="4"/>
      <c r="G25" s="4"/>
      <c r="H25" s="4"/>
      <c r="I25" s="4"/>
      <c r="J25" s="4"/>
      <c r="K25" s="4"/>
      <c r="L25" s="4"/>
      <c r="M25" s="4"/>
      <c r="N25" s="4"/>
      <c r="O25" s="4"/>
    </row>
    <row r="26" spans="2:15" s="3" customFormat="1">
      <c r="B26" s="5"/>
      <c r="C26" s="5" t="s">
        <v>34</v>
      </c>
      <c r="D26" s="81"/>
      <c r="E26" s="81"/>
      <c r="F26" s="4"/>
      <c r="G26" s="4"/>
      <c r="H26" s="4"/>
      <c r="I26" s="4"/>
      <c r="J26" s="4"/>
      <c r="K26" s="4"/>
      <c r="L26" s="4"/>
      <c r="M26" s="4"/>
      <c r="N26" s="4"/>
      <c r="O26" s="4"/>
    </row>
    <row r="27" spans="2:15" s="3" customFormat="1" ht="16.5">
      <c r="B27" s="5"/>
      <c r="C27" s="1093" t="s">
        <v>1272</v>
      </c>
      <c r="D27" s="83"/>
      <c r="E27" s="83"/>
      <c r="F27" s="698">
        <v>0</v>
      </c>
      <c r="G27" s="698">
        <v>0</v>
      </c>
      <c r="H27" s="531">
        <v>0.12883500000000001</v>
      </c>
      <c r="I27" s="698">
        <v>0</v>
      </c>
      <c r="J27" s="531">
        <v>0.12883500000000001</v>
      </c>
      <c r="K27" s="531">
        <v>0.12883500000000001</v>
      </c>
      <c r="L27" s="698">
        <v>0</v>
      </c>
      <c r="M27" s="698">
        <v>0</v>
      </c>
      <c r="N27" s="560">
        <f>+SUM(K27:M27)</f>
        <v>0.12883500000000001</v>
      </c>
      <c r="O27" s="560">
        <f>+I27+J27-N27</f>
        <v>0</v>
      </c>
    </row>
    <row r="28" spans="2:15" s="3" customFormat="1" ht="16.5">
      <c r="B28" s="5"/>
      <c r="C28" s="1093" t="s">
        <v>1274</v>
      </c>
      <c r="D28" s="4"/>
      <c r="E28" s="4"/>
      <c r="F28" s="698">
        <v>0</v>
      </c>
      <c r="G28" s="698">
        <v>0</v>
      </c>
      <c r="H28" s="531">
        <v>0.28561310000000001</v>
      </c>
      <c r="I28" s="698">
        <v>0</v>
      </c>
      <c r="J28" s="531">
        <v>0.28561310000000001</v>
      </c>
      <c r="K28" s="531">
        <v>0.28561310000000001</v>
      </c>
      <c r="L28" s="698">
        <v>0</v>
      </c>
      <c r="M28" s="698">
        <v>0</v>
      </c>
      <c r="N28" s="560">
        <f t="shared" ref="N28:N31" si="2">+SUM(K28:M28)</f>
        <v>0.28561310000000001</v>
      </c>
      <c r="O28" s="560">
        <f t="shared" ref="O28:O31" si="3">+I28+J28-N28</f>
        <v>0</v>
      </c>
    </row>
    <row r="29" spans="2:15" s="3" customFormat="1" ht="16.5">
      <c r="B29" s="5"/>
      <c r="C29" s="1093" t="s">
        <v>1276</v>
      </c>
      <c r="D29" s="4"/>
      <c r="E29" s="4"/>
      <c r="F29" s="698">
        <v>0</v>
      </c>
      <c r="G29" s="698">
        <v>0</v>
      </c>
      <c r="H29" s="531">
        <v>3.4765E-3</v>
      </c>
      <c r="I29" s="698">
        <v>0</v>
      </c>
      <c r="J29" s="531">
        <v>3.4765E-3</v>
      </c>
      <c r="K29" s="531">
        <v>3.4765E-3</v>
      </c>
      <c r="L29" s="698">
        <v>0</v>
      </c>
      <c r="M29" s="698">
        <v>0</v>
      </c>
      <c r="N29" s="560">
        <f t="shared" si="2"/>
        <v>3.4765E-3</v>
      </c>
      <c r="O29" s="560">
        <f t="shared" si="3"/>
        <v>0</v>
      </c>
    </row>
    <row r="30" spans="2:15" s="3" customFormat="1" ht="16.5">
      <c r="B30" s="5"/>
      <c r="C30" s="1093" t="s">
        <v>1278</v>
      </c>
      <c r="D30" s="83"/>
      <c r="E30" s="83"/>
      <c r="F30" s="698">
        <v>0</v>
      </c>
      <c r="G30" s="698">
        <v>0</v>
      </c>
      <c r="H30" s="531">
        <v>6.4687499999999995E-2</v>
      </c>
      <c r="I30" s="698">
        <v>0</v>
      </c>
      <c r="J30" s="531">
        <v>6.4687499999999995E-2</v>
      </c>
      <c r="K30" s="531">
        <v>6.4687499999999995E-2</v>
      </c>
      <c r="L30" s="698">
        <v>0</v>
      </c>
      <c r="M30" s="698">
        <v>0</v>
      </c>
      <c r="N30" s="560">
        <f t="shared" si="2"/>
        <v>6.4687499999999995E-2</v>
      </c>
      <c r="O30" s="560">
        <f t="shared" si="3"/>
        <v>0</v>
      </c>
    </row>
    <row r="31" spans="2:15" s="3" customFormat="1" ht="16.5">
      <c r="B31" s="5"/>
      <c r="C31" s="1093" t="s">
        <v>1280</v>
      </c>
      <c r="D31" s="4"/>
      <c r="E31" s="4"/>
      <c r="F31" s="698">
        <v>0</v>
      </c>
      <c r="G31" s="698">
        <v>0</v>
      </c>
      <c r="H31" s="531">
        <v>6.5005300000000002E-2</v>
      </c>
      <c r="I31" s="698">
        <v>0</v>
      </c>
      <c r="J31" s="531">
        <v>6.5005300000000002E-2</v>
      </c>
      <c r="K31" s="531">
        <v>6.5005300000000002E-2</v>
      </c>
      <c r="L31" s="698">
        <v>0</v>
      </c>
      <c r="M31" s="698">
        <v>0</v>
      </c>
      <c r="N31" s="560">
        <f t="shared" si="2"/>
        <v>6.5005300000000002E-2</v>
      </c>
      <c r="O31" s="560">
        <f t="shared" si="3"/>
        <v>0</v>
      </c>
    </row>
    <row r="32" spans="2:15" s="3" customFormat="1">
      <c r="B32" s="5"/>
      <c r="C32" s="85"/>
      <c r="D32" s="4"/>
      <c r="E32" s="4"/>
      <c r="F32" s="698"/>
      <c r="G32" s="698"/>
      <c r="H32" s="4"/>
      <c r="I32" s="4"/>
      <c r="J32" s="4"/>
      <c r="K32" s="4"/>
      <c r="L32" s="4"/>
      <c r="M32" s="4"/>
      <c r="N32" s="4"/>
      <c r="O32" s="4"/>
    </row>
    <row r="33" spans="2:15" s="3" customFormat="1">
      <c r="B33" s="5"/>
      <c r="C33" s="81" t="s">
        <v>147</v>
      </c>
      <c r="D33" s="5"/>
      <c r="E33" s="5"/>
      <c r="F33" s="698"/>
      <c r="G33" s="698"/>
      <c r="H33" s="4"/>
      <c r="I33" s="4"/>
      <c r="J33" s="4"/>
      <c r="K33" s="4"/>
      <c r="L33" s="4"/>
      <c r="M33" s="4"/>
      <c r="N33" s="4"/>
      <c r="O33" s="4"/>
    </row>
    <row r="34" spans="2:15" s="3" customFormat="1">
      <c r="B34" s="5"/>
      <c r="C34" s="81" t="s">
        <v>33</v>
      </c>
      <c r="D34" s="4"/>
      <c r="E34" s="4"/>
      <c r="F34" s="698"/>
      <c r="G34" s="698"/>
      <c r="H34" s="4"/>
      <c r="I34" s="4"/>
      <c r="J34" s="4"/>
      <c r="K34" s="4"/>
      <c r="L34" s="4"/>
      <c r="M34" s="4"/>
      <c r="N34" s="4"/>
      <c r="O34" s="4"/>
    </row>
    <row r="35" spans="2:15" s="3" customFormat="1">
      <c r="B35" s="5"/>
      <c r="C35" s="4" t="s">
        <v>1271</v>
      </c>
      <c r="D35" s="4"/>
      <c r="E35" s="4"/>
      <c r="F35" s="698">
        <v>0</v>
      </c>
      <c r="G35" s="698">
        <v>0</v>
      </c>
      <c r="H35" s="698">
        <v>0</v>
      </c>
      <c r="I35" s="698">
        <v>0</v>
      </c>
      <c r="J35" s="698">
        <v>0</v>
      </c>
      <c r="K35" s="698">
        <v>0</v>
      </c>
      <c r="L35" s="698">
        <v>0</v>
      </c>
      <c r="M35" s="698">
        <v>0</v>
      </c>
      <c r="N35" s="560">
        <f t="shared" ref="N35" si="4">+SUM(K35:M35)</f>
        <v>0</v>
      </c>
      <c r="O35" s="560">
        <f t="shared" ref="O35" si="5">+I35+J35-N35</f>
        <v>0</v>
      </c>
    </row>
    <row r="36" spans="2:15" s="3" customFormat="1">
      <c r="B36" s="5"/>
      <c r="C36" s="4"/>
      <c r="D36" s="85"/>
      <c r="E36" s="85"/>
      <c r="F36" s="698"/>
      <c r="G36" s="698"/>
      <c r="H36" s="698"/>
      <c r="I36" s="4"/>
      <c r="J36" s="4"/>
      <c r="K36" s="4"/>
      <c r="L36" s="4"/>
      <c r="M36" s="4"/>
      <c r="N36" s="4"/>
      <c r="O36" s="4"/>
    </row>
    <row r="37" spans="2:15" s="3" customFormat="1">
      <c r="B37" s="5"/>
      <c r="C37" s="5" t="s">
        <v>34</v>
      </c>
      <c r="D37" s="81"/>
      <c r="E37" s="81"/>
      <c r="F37" s="698"/>
      <c r="G37" s="698"/>
      <c r="H37" s="698"/>
      <c r="I37" s="4"/>
      <c r="J37" s="4"/>
      <c r="K37" s="4"/>
      <c r="L37" s="4"/>
      <c r="M37" s="4"/>
      <c r="N37" s="4"/>
      <c r="O37" s="4"/>
    </row>
    <row r="38" spans="2:15" s="3" customFormat="1">
      <c r="B38" s="5"/>
      <c r="C38" s="4" t="s">
        <v>1282</v>
      </c>
      <c r="D38" s="81"/>
      <c r="E38" s="81"/>
      <c r="F38" s="698">
        <v>0</v>
      </c>
      <c r="G38" s="698">
        <v>0</v>
      </c>
      <c r="H38" s="698">
        <v>0</v>
      </c>
      <c r="I38" s="698">
        <v>0</v>
      </c>
      <c r="J38" s="698">
        <v>0.42</v>
      </c>
      <c r="K38" s="698">
        <v>0.42</v>
      </c>
      <c r="L38" s="698">
        <v>0</v>
      </c>
      <c r="M38" s="698">
        <v>0</v>
      </c>
      <c r="N38" s="560">
        <f t="shared" ref="N38" si="6">+SUM(K38:M38)</f>
        <v>0.42</v>
      </c>
      <c r="O38" s="560">
        <f t="shared" ref="O38" si="7">+I38+J38-N38</f>
        <v>0</v>
      </c>
    </row>
    <row r="39" spans="2:15" s="3" customFormat="1">
      <c r="B39" s="5"/>
      <c r="C39" s="4"/>
      <c r="D39" s="83"/>
      <c r="E39" s="83"/>
      <c r="F39" s="698"/>
      <c r="G39" s="698"/>
      <c r="H39" s="4"/>
      <c r="I39" s="698"/>
      <c r="J39" s="698"/>
      <c r="K39" s="698"/>
      <c r="L39" s="698"/>
      <c r="M39" s="698"/>
      <c r="N39" s="698"/>
      <c r="O39" s="698"/>
    </row>
    <row r="40" spans="2:15" s="3" customFormat="1">
      <c r="B40" s="5"/>
      <c r="C40" s="81" t="s">
        <v>148</v>
      </c>
      <c r="D40" s="4"/>
      <c r="E40" s="4"/>
      <c r="F40" s="698"/>
      <c r="G40" s="698"/>
      <c r="H40" s="4"/>
      <c r="I40" s="698"/>
      <c r="J40" s="698"/>
      <c r="K40" s="698"/>
      <c r="L40" s="698"/>
      <c r="M40" s="698"/>
      <c r="N40" s="698"/>
      <c r="O40" s="698"/>
    </row>
    <row r="41" spans="2:15" s="3" customFormat="1">
      <c r="B41" s="5"/>
      <c r="C41" s="81" t="s">
        <v>33</v>
      </c>
      <c r="D41" s="4"/>
      <c r="E41" s="4"/>
      <c r="F41" s="698"/>
      <c r="G41" s="698"/>
      <c r="H41" s="4"/>
      <c r="I41" s="698"/>
      <c r="J41" s="698"/>
      <c r="K41" s="698"/>
      <c r="L41" s="698"/>
      <c r="M41" s="698"/>
      <c r="N41" s="698"/>
      <c r="O41" s="698"/>
    </row>
    <row r="42" spans="2:15" s="3" customFormat="1">
      <c r="B42" s="5"/>
      <c r="C42" s="4" t="s">
        <v>1271</v>
      </c>
      <c r="D42" s="83"/>
      <c r="E42" s="83"/>
      <c r="F42" s="698">
        <v>0</v>
      </c>
      <c r="G42" s="698">
        <v>0</v>
      </c>
      <c r="H42" s="698">
        <v>0</v>
      </c>
      <c r="I42" s="698">
        <v>0</v>
      </c>
      <c r="J42" s="698">
        <v>0</v>
      </c>
      <c r="K42" s="698">
        <v>0</v>
      </c>
      <c r="L42" s="698">
        <v>0</v>
      </c>
      <c r="M42" s="698">
        <v>0</v>
      </c>
      <c r="N42" s="560">
        <f t="shared" ref="N42" si="8">+SUM(K42:M42)</f>
        <v>0</v>
      </c>
      <c r="O42" s="560">
        <f t="shared" ref="O42" si="9">+I42+J42-N42</f>
        <v>0</v>
      </c>
    </row>
    <row r="43" spans="2:15" s="3" customFormat="1">
      <c r="B43" s="5"/>
      <c r="C43" s="4"/>
      <c r="D43" s="4"/>
      <c r="E43" s="4"/>
      <c r="F43" s="698"/>
      <c r="G43" s="698"/>
      <c r="H43" s="4"/>
      <c r="I43" s="698"/>
      <c r="J43" s="698"/>
      <c r="K43" s="698"/>
      <c r="L43" s="698"/>
      <c r="M43" s="698"/>
      <c r="N43" s="698"/>
      <c r="O43" s="698"/>
    </row>
    <row r="44" spans="2:15" s="3" customFormat="1">
      <c r="B44" s="5"/>
      <c r="C44" s="5" t="s">
        <v>34</v>
      </c>
      <c r="D44" s="4"/>
      <c r="E44" s="4"/>
      <c r="F44" s="698"/>
      <c r="G44" s="698"/>
      <c r="H44" s="4"/>
      <c r="I44" s="698"/>
      <c r="J44" s="698"/>
      <c r="K44" s="698"/>
      <c r="L44" s="698"/>
      <c r="M44" s="698"/>
      <c r="N44" s="698"/>
      <c r="O44" s="698"/>
    </row>
    <row r="45" spans="2:15" s="3" customFormat="1">
      <c r="B45" s="5"/>
      <c r="C45" s="4" t="s">
        <v>1283</v>
      </c>
      <c r="D45" s="5"/>
      <c r="E45" s="5"/>
      <c r="F45" s="698">
        <v>0</v>
      </c>
      <c r="G45" s="698">
        <v>0</v>
      </c>
      <c r="H45" s="698">
        <v>0</v>
      </c>
      <c r="I45" s="698">
        <v>0</v>
      </c>
      <c r="J45" s="698">
        <v>0.9</v>
      </c>
      <c r="K45" s="698">
        <v>0.9</v>
      </c>
      <c r="L45" s="698">
        <v>0</v>
      </c>
      <c r="M45" s="698">
        <v>0</v>
      </c>
      <c r="N45" s="560">
        <f t="shared" ref="N45" si="10">+SUM(K45:M45)</f>
        <v>0.9</v>
      </c>
      <c r="O45" s="560">
        <f t="shared" ref="O45" si="11">+I45+J45-N45</f>
        <v>0</v>
      </c>
    </row>
    <row r="46" spans="2:15" s="3" customFormat="1">
      <c r="B46" s="5"/>
      <c r="C46" s="81"/>
      <c r="D46" s="4"/>
      <c r="E46" s="4"/>
      <c r="F46" s="698"/>
      <c r="G46" s="698"/>
      <c r="H46" s="4"/>
      <c r="I46" s="698"/>
      <c r="J46" s="698"/>
      <c r="K46" s="698"/>
      <c r="L46" s="698"/>
      <c r="M46" s="698"/>
      <c r="N46" s="698"/>
      <c r="O46" s="698"/>
    </row>
    <row r="47" spans="2:15" s="3" customFormat="1">
      <c r="B47" s="5"/>
      <c r="C47" s="81" t="s">
        <v>149</v>
      </c>
      <c r="D47" s="4"/>
      <c r="E47" s="4"/>
      <c r="F47" s="698"/>
      <c r="G47" s="698"/>
      <c r="H47" s="4"/>
      <c r="I47" s="698"/>
      <c r="J47" s="698"/>
      <c r="K47" s="698"/>
      <c r="L47" s="698"/>
      <c r="M47" s="698"/>
      <c r="N47" s="698"/>
      <c r="O47" s="698"/>
    </row>
    <row r="48" spans="2:15" s="3" customFormat="1">
      <c r="B48" s="5"/>
      <c r="C48" s="81" t="s">
        <v>33</v>
      </c>
      <c r="D48" s="85"/>
      <c r="E48" s="85"/>
      <c r="F48" s="698"/>
      <c r="G48" s="698"/>
      <c r="H48" s="4"/>
      <c r="I48" s="698"/>
      <c r="J48" s="698"/>
      <c r="K48" s="698"/>
      <c r="L48" s="698"/>
      <c r="M48" s="698"/>
      <c r="N48" s="698"/>
      <c r="O48" s="698"/>
    </row>
    <row r="49" spans="2:28" s="3" customFormat="1">
      <c r="B49" s="5"/>
      <c r="C49" s="4" t="s">
        <v>1271</v>
      </c>
      <c r="D49" s="81"/>
      <c r="E49" s="81"/>
      <c r="F49" s="698">
        <v>0</v>
      </c>
      <c r="G49" s="698">
        <v>0</v>
      </c>
      <c r="H49" s="698">
        <v>0</v>
      </c>
      <c r="I49" s="698">
        <v>0</v>
      </c>
      <c r="J49" s="698">
        <v>0</v>
      </c>
      <c r="K49" s="698">
        <v>0</v>
      </c>
      <c r="L49" s="698">
        <v>0</v>
      </c>
      <c r="M49" s="698">
        <v>0</v>
      </c>
      <c r="N49" s="560">
        <f t="shared" ref="N49" si="12">+SUM(K49:M49)</f>
        <v>0</v>
      </c>
      <c r="O49" s="560">
        <f t="shared" ref="O49" si="13">+I49+J49-N49</f>
        <v>0</v>
      </c>
    </row>
    <row r="50" spans="2:28" s="3" customFormat="1">
      <c r="B50" s="5"/>
      <c r="C50" s="4"/>
      <c r="D50" s="4"/>
      <c r="E50" s="4"/>
      <c r="F50" s="698"/>
      <c r="G50" s="698"/>
      <c r="H50" s="4"/>
      <c r="I50" s="698"/>
      <c r="J50" s="698"/>
      <c r="K50" s="698"/>
      <c r="L50" s="698"/>
      <c r="M50" s="698"/>
      <c r="N50" s="698"/>
      <c r="O50" s="698"/>
    </row>
    <row r="51" spans="2:28" s="3" customFormat="1">
      <c r="B51" s="5"/>
      <c r="C51" s="5" t="s">
        <v>34</v>
      </c>
      <c r="D51" s="4"/>
      <c r="E51" s="4"/>
      <c r="F51" s="698"/>
      <c r="G51" s="698"/>
      <c r="H51" s="4"/>
      <c r="I51" s="698"/>
      <c r="J51" s="698"/>
      <c r="K51" s="698"/>
      <c r="L51" s="698"/>
      <c r="M51" s="698"/>
      <c r="N51" s="698"/>
      <c r="O51" s="698"/>
    </row>
    <row r="52" spans="2:28" s="3" customFormat="1">
      <c r="B52" s="5"/>
      <c r="C52" s="4" t="s">
        <v>1285</v>
      </c>
      <c r="D52" s="85"/>
      <c r="E52" s="85"/>
      <c r="F52" s="698">
        <v>0</v>
      </c>
      <c r="G52" s="698">
        <v>0</v>
      </c>
      <c r="H52" s="698">
        <v>0</v>
      </c>
      <c r="I52" s="698">
        <v>0</v>
      </c>
      <c r="J52" s="698">
        <v>0.9</v>
      </c>
      <c r="K52" s="698">
        <v>0.9</v>
      </c>
      <c r="L52" s="698">
        <v>0</v>
      </c>
      <c r="M52" s="698">
        <v>0</v>
      </c>
      <c r="N52" s="560">
        <f t="shared" ref="N52" si="14">+SUM(K52:M52)</f>
        <v>0.9</v>
      </c>
      <c r="O52" s="560">
        <f t="shared" ref="O52" si="15">+I52+J52-N52</f>
        <v>0</v>
      </c>
    </row>
    <row r="54" spans="2:28">
      <c r="C54" s="169" t="s">
        <v>257</v>
      </c>
      <c r="D54" s="12"/>
      <c r="E54" s="12"/>
      <c r="F54" s="12"/>
      <c r="G54" s="12"/>
      <c r="H54" s="157"/>
      <c r="I54" s="9"/>
      <c r="J54" s="9"/>
      <c r="K54" s="9"/>
      <c r="L54" s="9"/>
      <c r="M54" s="9"/>
      <c r="N54" s="9"/>
      <c r="O54" s="9"/>
      <c r="P54" s="9"/>
      <c r="Q54" s="9"/>
      <c r="R54" s="9"/>
      <c r="S54" s="9"/>
      <c r="T54" s="9"/>
      <c r="U54" s="9"/>
      <c r="V54" s="9"/>
      <c r="W54" s="9"/>
      <c r="X54" s="9"/>
      <c r="Y54" s="9"/>
      <c r="Z54" s="9"/>
      <c r="AA54" s="9"/>
      <c r="AB54" s="9"/>
    </row>
    <row r="55" spans="2:28">
      <c r="C55" s="169"/>
      <c r="D55" s="12"/>
      <c r="E55" s="12"/>
      <c r="F55" s="12"/>
      <c r="G55" s="12"/>
      <c r="H55" s="157"/>
      <c r="I55" s="9"/>
      <c r="J55" s="9"/>
      <c r="K55" s="9"/>
      <c r="L55" s="9"/>
      <c r="M55" s="9"/>
      <c r="N55" s="9"/>
      <c r="O55" s="9"/>
      <c r="P55" s="9"/>
      <c r="Q55" s="9"/>
      <c r="R55" s="9"/>
      <c r="S55" s="9"/>
      <c r="T55" s="9"/>
      <c r="U55" s="9"/>
      <c r="V55" s="9"/>
      <c r="W55" s="9"/>
      <c r="X55" s="9"/>
      <c r="Y55" s="9"/>
      <c r="Z55" s="9"/>
      <c r="AA55" s="9"/>
      <c r="AB55" s="9"/>
    </row>
    <row r="56" spans="2:28" ht="15.75" customHeight="1">
      <c r="C56" s="157" t="s">
        <v>0</v>
      </c>
      <c r="D56" s="157"/>
      <c r="E56" s="157"/>
      <c r="F56" s="157"/>
      <c r="G56" s="157"/>
      <c r="I56" s="9"/>
      <c r="J56" s="9"/>
      <c r="K56" s="9"/>
      <c r="L56" s="9"/>
      <c r="M56" s="9"/>
      <c r="N56" s="9"/>
      <c r="O56" s="9"/>
      <c r="P56" s="9"/>
      <c r="Q56" s="9"/>
      <c r="R56" s="9"/>
      <c r="S56" s="9"/>
      <c r="T56" s="9"/>
      <c r="U56" s="9"/>
      <c r="V56" s="9"/>
      <c r="W56" s="9"/>
      <c r="X56" s="9"/>
      <c r="Y56" s="9"/>
      <c r="Z56" s="9"/>
      <c r="AA56" s="9"/>
      <c r="AB56" s="9"/>
    </row>
    <row r="57" spans="2:28">
      <c r="C57" s="12"/>
      <c r="D57" s="12"/>
      <c r="E57" s="12"/>
      <c r="F57" s="12"/>
      <c r="G57" s="12"/>
      <c r="H57" s="12"/>
      <c r="I57" s="9"/>
      <c r="J57" s="9"/>
      <c r="K57" s="9"/>
      <c r="L57" s="9"/>
      <c r="M57" s="9"/>
      <c r="N57" s="8"/>
      <c r="O57" s="8" t="s">
        <v>16</v>
      </c>
      <c r="P57" s="9"/>
      <c r="Q57" s="9"/>
      <c r="T57" s="8"/>
      <c r="U57" s="8"/>
      <c r="V57" s="8"/>
      <c r="W57" s="8"/>
      <c r="X57" s="8"/>
      <c r="Y57" s="9"/>
      <c r="Z57" s="9"/>
      <c r="AA57" s="9"/>
    </row>
    <row r="58" spans="2:28">
      <c r="B58" s="1376" t="s">
        <v>157</v>
      </c>
      <c r="C58" s="1376" t="s">
        <v>26</v>
      </c>
      <c r="D58" s="1376" t="s">
        <v>624</v>
      </c>
      <c r="E58" s="1376" t="s">
        <v>625</v>
      </c>
      <c r="F58" s="1376" t="s">
        <v>560</v>
      </c>
      <c r="G58" s="1376" t="s">
        <v>636</v>
      </c>
      <c r="H58" s="1376" t="s">
        <v>637</v>
      </c>
      <c r="I58" s="1376" t="s">
        <v>561</v>
      </c>
      <c r="J58" s="1376" t="s">
        <v>562</v>
      </c>
      <c r="K58" s="1376" t="s">
        <v>563</v>
      </c>
      <c r="L58" s="1376"/>
      <c r="M58" s="1376"/>
      <c r="N58" s="1376"/>
      <c r="O58" s="1376" t="s">
        <v>564</v>
      </c>
    </row>
    <row r="59" spans="2:28">
      <c r="B59" s="1376"/>
      <c r="C59" s="1376"/>
      <c r="D59" s="1376"/>
      <c r="E59" s="1376"/>
      <c r="F59" s="1376"/>
      <c r="G59" s="1376"/>
      <c r="H59" s="1376"/>
      <c r="I59" s="1376"/>
      <c r="J59" s="1376"/>
      <c r="K59" s="1376"/>
      <c r="L59" s="1376"/>
      <c r="M59" s="1376"/>
      <c r="N59" s="1376"/>
      <c r="O59" s="1376"/>
    </row>
    <row r="60" spans="2:28" ht="28.5">
      <c r="B60" s="1376"/>
      <c r="C60" s="1376"/>
      <c r="D60" s="1376"/>
      <c r="E60" s="1376"/>
      <c r="F60" s="1376"/>
      <c r="G60" s="1376"/>
      <c r="H60" s="1376"/>
      <c r="I60" s="1376"/>
      <c r="J60" s="1376"/>
      <c r="K60" s="1071" t="s">
        <v>565</v>
      </c>
      <c r="L60" s="1071" t="s">
        <v>566</v>
      </c>
      <c r="M60" s="1071" t="s">
        <v>567</v>
      </c>
      <c r="N60" s="1071" t="s">
        <v>568</v>
      </c>
      <c r="O60" s="1376"/>
    </row>
    <row r="61" spans="2:28" s="3" customFormat="1">
      <c r="B61" s="5"/>
      <c r="C61" s="5" t="s">
        <v>38</v>
      </c>
      <c r="D61" s="5"/>
      <c r="E61" s="5"/>
      <c r="F61" s="4"/>
      <c r="G61" s="4"/>
      <c r="H61" s="4"/>
      <c r="I61" s="4"/>
      <c r="J61" s="4"/>
      <c r="K61" s="4"/>
      <c r="L61" s="4"/>
      <c r="M61" s="4"/>
      <c r="N61" s="4"/>
      <c r="O61" s="4"/>
    </row>
    <row r="62" spans="2:28" s="3" customFormat="1">
      <c r="B62" s="5"/>
      <c r="C62" s="81" t="s">
        <v>33</v>
      </c>
      <c r="D62" s="81"/>
      <c r="E62" s="81"/>
      <c r="F62" s="4"/>
      <c r="G62" s="4"/>
      <c r="H62" s="4"/>
      <c r="I62" s="4"/>
      <c r="J62" s="4"/>
      <c r="K62" s="4"/>
      <c r="L62" s="4"/>
      <c r="M62" s="4"/>
      <c r="N62" s="4"/>
      <c r="O62" s="4"/>
    </row>
    <row r="63" spans="2:28" s="3" customFormat="1">
      <c r="B63" s="5"/>
      <c r="C63" s="83" t="s">
        <v>35</v>
      </c>
      <c r="D63" s="83"/>
      <c r="E63" s="83"/>
      <c r="F63" s="4"/>
      <c r="G63" s="4"/>
      <c r="H63" s="4"/>
      <c r="I63" s="4"/>
      <c r="J63" s="4"/>
      <c r="K63" s="4"/>
      <c r="L63" s="4"/>
      <c r="M63" s="4"/>
      <c r="N63" s="4"/>
      <c r="O63" s="4"/>
    </row>
    <row r="64" spans="2:28" s="3" customFormat="1">
      <c r="B64" s="5"/>
      <c r="C64" s="4" t="s">
        <v>37</v>
      </c>
      <c r="D64" s="4"/>
      <c r="E64" s="4"/>
      <c r="F64" s="4"/>
      <c r="G64" s="4"/>
      <c r="H64" s="4"/>
      <c r="I64" s="4"/>
      <c r="J64" s="4"/>
      <c r="K64" s="4"/>
      <c r="L64" s="4"/>
      <c r="M64" s="4"/>
      <c r="N64" s="4"/>
      <c r="O64" s="4"/>
    </row>
    <row r="65" spans="2:15" s="3" customFormat="1">
      <c r="B65" s="5"/>
      <c r="C65" s="4" t="s">
        <v>37</v>
      </c>
      <c r="D65" s="4"/>
      <c r="E65" s="4"/>
      <c r="F65" s="4"/>
      <c r="G65" s="4"/>
      <c r="H65" s="4"/>
      <c r="I65" s="4"/>
      <c r="J65" s="4"/>
      <c r="K65" s="4"/>
      <c r="L65" s="4"/>
      <c r="M65" s="4"/>
      <c r="N65" s="4"/>
      <c r="O65" s="4"/>
    </row>
    <row r="66" spans="2:15" s="3" customFormat="1">
      <c r="B66" s="5"/>
      <c r="C66" s="83" t="s">
        <v>36</v>
      </c>
      <c r="D66" s="83"/>
      <c r="E66" s="83"/>
      <c r="F66" s="4"/>
      <c r="G66" s="4"/>
      <c r="H66" s="4"/>
      <c r="I66" s="4"/>
      <c r="J66" s="4"/>
      <c r="K66" s="4"/>
      <c r="L66" s="4"/>
      <c r="M66" s="4"/>
      <c r="N66" s="4"/>
      <c r="O66" s="4"/>
    </row>
    <row r="67" spans="2:15" s="3" customFormat="1">
      <c r="B67" s="5"/>
      <c r="C67" s="4" t="s">
        <v>37</v>
      </c>
      <c r="D67" s="4"/>
      <c r="E67" s="4"/>
      <c r="F67" s="4"/>
      <c r="G67" s="4"/>
      <c r="H67" s="4"/>
      <c r="I67" s="4"/>
      <c r="J67" s="4"/>
      <c r="K67" s="4"/>
      <c r="L67" s="4"/>
      <c r="M67" s="4"/>
      <c r="N67" s="4"/>
      <c r="O67" s="4"/>
    </row>
    <row r="68" spans="2:15" s="3" customFormat="1">
      <c r="B68" s="5"/>
      <c r="C68" s="4" t="s">
        <v>37</v>
      </c>
      <c r="D68" s="4"/>
      <c r="E68" s="4"/>
      <c r="F68" s="4"/>
      <c r="G68" s="4"/>
      <c r="H68" s="4"/>
      <c r="I68" s="4"/>
      <c r="J68" s="4"/>
      <c r="K68" s="4"/>
      <c r="L68" s="4"/>
      <c r="M68" s="4"/>
      <c r="N68" s="4"/>
      <c r="O68" s="4"/>
    </row>
    <row r="69" spans="2:15" s="3" customFormat="1">
      <c r="B69" s="5"/>
      <c r="C69" s="5" t="s">
        <v>34</v>
      </c>
      <c r="D69" s="5"/>
      <c r="E69" s="5"/>
      <c r="F69" s="4"/>
      <c r="G69" s="4"/>
      <c r="H69" s="4"/>
      <c r="I69" s="4"/>
      <c r="J69" s="4"/>
      <c r="K69" s="4"/>
      <c r="L69" s="4"/>
      <c r="M69" s="4"/>
      <c r="N69" s="4"/>
      <c r="O69" s="4"/>
    </row>
    <row r="70" spans="2:15" s="3" customFormat="1">
      <c r="B70" s="5"/>
      <c r="C70" s="4" t="s">
        <v>37</v>
      </c>
      <c r="D70" s="4"/>
      <c r="E70" s="4"/>
      <c r="F70" s="4"/>
      <c r="G70" s="4"/>
      <c r="H70" s="4"/>
      <c r="I70" s="4"/>
      <c r="J70" s="4"/>
      <c r="K70" s="4"/>
      <c r="L70" s="4"/>
      <c r="M70" s="4"/>
      <c r="N70" s="4"/>
      <c r="O70" s="4"/>
    </row>
    <row r="71" spans="2:15" s="3" customFormat="1">
      <c r="B71" s="5"/>
      <c r="C71" s="4" t="s">
        <v>37</v>
      </c>
      <c r="D71" s="4"/>
      <c r="E71" s="4"/>
      <c r="F71" s="4"/>
      <c r="G71" s="4"/>
      <c r="H71" s="4"/>
      <c r="I71" s="4"/>
      <c r="J71" s="4"/>
      <c r="K71" s="4"/>
      <c r="L71" s="4"/>
      <c r="M71" s="4"/>
      <c r="N71" s="4"/>
      <c r="O71" s="4"/>
    </row>
    <row r="72" spans="2:15" s="3" customFormat="1">
      <c r="B72" s="5"/>
      <c r="C72" s="85"/>
      <c r="D72" s="85"/>
      <c r="E72" s="85"/>
      <c r="F72" s="4"/>
      <c r="G72" s="4"/>
      <c r="H72" s="4"/>
      <c r="I72" s="4"/>
      <c r="J72" s="4"/>
      <c r="K72" s="4"/>
      <c r="L72" s="4"/>
      <c r="M72" s="4"/>
      <c r="N72" s="4"/>
      <c r="O72" s="4"/>
    </row>
    <row r="73" spans="2:15" s="3" customFormat="1">
      <c r="B73" s="5"/>
      <c r="C73" s="81" t="s">
        <v>146</v>
      </c>
      <c r="D73" s="81"/>
      <c r="E73" s="81"/>
      <c r="F73" s="4"/>
      <c r="G73" s="4"/>
      <c r="H73" s="4"/>
      <c r="I73" s="4"/>
      <c r="J73" s="4"/>
      <c r="K73" s="4"/>
      <c r="L73" s="4"/>
      <c r="M73" s="4"/>
      <c r="N73" s="4"/>
      <c r="O73" s="4"/>
    </row>
    <row r="74" spans="2:15" s="3" customFormat="1">
      <c r="B74" s="5"/>
      <c r="C74" s="81" t="s">
        <v>33</v>
      </c>
      <c r="D74" s="81"/>
      <c r="E74" s="81"/>
      <c r="F74" s="4"/>
      <c r="G74" s="4"/>
      <c r="H74" s="4"/>
      <c r="I74" s="4"/>
      <c r="J74" s="4"/>
      <c r="K74" s="4"/>
      <c r="L74" s="4"/>
      <c r="M74" s="4"/>
      <c r="N74" s="4"/>
      <c r="O74" s="4"/>
    </row>
    <row r="75" spans="2:15" s="3" customFormat="1">
      <c r="B75" s="5"/>
      <c r="C75" s="83" t="s">
        <v>35</v>
      </c>
      <c r="D75" s="83"/>
      <c r="E75" s="83"/>
      <c r="F75" s="4"/>
      <c r="G75" s="4"/>
      <c r="H75" s="4"/>
      <c r="I75" s="4"/>
      <c r="J75" s="4"/>
      <c r="K75" s="4"/>
      <c r="L75" s="4"/>
      <c r="M75" s="4"/>
      <c r="N75" s="4"/>
      <c r="O75" s="4"/>
    </row>
    <row r="76" spans="2:15" s="3" customFormat="1">
      <c r="B76" s="5"/>
      <c r="C76" s="4" t="s">
        <v>37</v>
      </c>
      <c r="D76" s="4"/>
      <c r="E76" s="4"/>
      <c r="F76" s="4"/>
      <c r="G76" s="4"/>
      <c r="H76" s="4"/>
      <c r="I76" s="4"/>
      <c r="J76" s="4"/>
      <c r="K76" s="4"/>
      <c r="L76" s="4"/>
      <c r="M76" s="4"/>
      <c r="N76" s="4"/>
      <c r="O76" s="4"/>
    </row>
    <row r="77" spans="2:15" s="3" customFormat="1">
      <c r="B77" s="5"/>
      <c r="C77" s="4" t="s">
        <v>37</v>
      </c>
      <c r="D77" s="4"/>
      <c r="E77" s="4"/>
      <c r="F77" s="4"/>
      <c r="G77" s="4"/>
      <c r="H77" s="4"/>
      <c r="I77" s="4"/>
      <c r="J77" s="4"/>
      <c r="K77" s="4"/>
      <c r="L77" s="4"/>
      <c r="M77" s="4"/>
      <c r="N77" s="4"/>
      <c r="O77" s="4"/>
    </row>
    <row r="78" spans="2:15" s="3" customFormat="1">
      <c r="B78" s="5"/>
      <c r="C78" s="83" t="s">
        <v>36</v>
      </c>
      <c r="D78" s="83"/>
      <c r="E78" s="83"/>
      <c r="F78" s="4"/>
      <c r="G78" s="4"/>
      <c r="H78" s="4"/>
      <c r="I78" s="4"/>
      <c r="J78" s="4"/>
      <c r="K78" s="4"/>
      <c r="L78" s="4"/>
      <c r="M78" s="4"/>
      <c r="N78" s="4"/>
      <c r="O78" s="4"/>
    </row>
    <row r="79" spans="2:15" s="3" customFormat="1">
      <c r="B79" s="5"/>
      <c r="C79" s="4" t="s">
        <v>37</v>
      </c>
      <c r="D79" s="4"/>
      <c r="E79" s="4"/>
      <c r="F79" s="4"/>
      <c r="G79" s="4"/>
      <c r="H79" s="4"/>
      <c r="I79" s="4"/>
      <c r="J79" s="4"/>
      <c r="K79" s="4"/>
      <c r="L79" s="4"/>
      <c r="M79" s="4"/>
      <c r="N79" s="4"/>
      <c r="O79" s="4"/>
    </row>
    <row r="80" spans="2:15" s="3" customFormat="1">
      <c r="B80" s="5"/>
      <c r="C80" s="4" t="s">
        <v>37</v>
      </c>
      <c r="D80" s="4"/>
      <c r="E80" s="4"/>
      <c r="F80" s="4"/>
      <c r="G80" s="4"/>
      <c r="H80" s="4"/>
      <c r="I80" s="4"/>
      <c r="J80" s="4"/>
      <c r="K80" s="4"/>
      <c r="L80" s="4"/>
      <c r="M80" s="4"/>
      <c r="N80" s="4"/>
      <c r="O80" s="4"/>
    </row>
    <row r="81" spans="2:15" s="3" customFormat="1">
      <c r="B81" s="5"/>
      <c r="C81" s="5" t="s">
        <v>34</v>
      </c>
      <c r="D81" s="5"/>
      <c r="E81" s="5"/>
      <c r="F81" s="4"/>
      <c r="G81" s="4"/>
      <c r="H81" s="4"/>
      <c r="I81" s="4"/>
      <c r="J81" s="4"/>
      <c r="K81" s="4"/>
      <c r="L81" s="4"/>
      <c r="M81" s="4"/>
      <c r="N81" s="4"/>
      <c r="O81" s="4"/>
    </row>
    <row r="82" spans="2:15" s="3" customFormat="1">
      <c r="B82" s="5"/>
      <c r="C82" s="4" t="s">
        <v>37</v>
      </c>
      <c r="D82" s="4"/>
      <c r="E82" s="4"/>
      <c r="F82" s="4"/>
      <c r="G82" s="4"/>
      <c r="H82" s="4"/>
      <c r="I82" s="4"/>
      <c r="J82" s="4"/>
      <c r="K82" s="4"/>
      <c r="L82" s="4"/>
      <c r="M82" s="4"/>
      <c r="N82" s="4"/>
      <c r="O82" s="4"/>
    </row>
    <row r="83" spans="2:15" s="3" customFormat="1">
      <c r="B83" s="5"/>
      <c r="C83" s="4" t="s">
        <v>37</v>
      </c>
      <c r="D83" s="4"/>
      <c r="E83" s="4"/>
      <c r="F83" s="4"/>
      <c r="G83" s="4"/>
      <c r="H83" s="4"/>
      <c r="I83" s="4"/>
      <c r="J83" s="4"/>
      <c r="K83" s="4"/>
      <c r="L83" s="4"/>
      <c r="M83" s="4"/>
      <c r="N83" s="4"/>
      <c r="O83" s="4"/>
    </row>
    <row r="84" spans="2:15" s="3" customFormat="1">
      <c r="B84" s="5"/>
      <c r="C84" s="85"/>
      <c r="D84" s="85"/>
      <c r="E84" s="85"/>
      <c r="F84" s="4"/>
      <c r="G84" s="4"/>
      <c r="H84" s="4"/>
      <c r="I84" s="4"/>
      <c r="J84" s="4"/>
      <c r="K84" s="4"/>
      <c r="L84" s="4"/>
      <c r="M84" s="4"/>
      <c r="N84" s="4"/>
      <c r="O84" s="4"/>
    </row>
    <row r="85" spans="2:15" s="3" customFormat="1">
      <c r="B85" s="5"/>
      <c r="C85" s="81" t="s">
        <v>147</v>
      </c>
      <c r="D85" s="81"/>
      <c r="E85" s="81"/>
      <c r="F85" s="4"/>
      <c r="G85" s="4"/>
      <c r="H85" s="4"/>
      <c r="I85" s="4"/>
      <c r="J85" s="4"/>
      <c r="K85" s="4"/>
      <c r="L85" s="4"/>
      <c r="M85" s="4"/>
      <c r="N85" s="4"/>
      <c r="O85" s="4"/>
    </row>
    <row r="86" spans="2:15" s="3" customFormat="1">
      <c r="B86" s="5"/>
      <c r="C86" s="81" t="s">
        <v>33</v>
      </c>
      <c r="D86" s="81"/>
      <c r="E86" s="81"/>
      <c r="F86" s="4"/>
      <c r="G86" s="4"/>
      <c r="H86" s="4"/>
      <c r="I86" s="4"/>
      <c r="J86" s="4"/>
      <c r="K86" s="4"/>
      <c r="L86" s="4"/>
      <c r="M86" s="4"/>
      <c r="N86" s="4"/>
      <c r="O86" s="4"/>
    </row>
    <row r="87" spans="2:15" s="3" customFormat="1">
      <c r="B87" s="5"/>
      <c r="C87" s="83" t="s">
        <v>35</v>
      </c>
      <c r="D87" s="83"/>
      <c r="E87" s="83"/>
      <c r="F87" s="4"/>
      <c r="G87" s="4"/>
      <c r="H87" s="4"/>
      <c r="I87" s="4"/>
      <c r="J87" s="4"/>
      <c r="K87" s="4"/>
      <c r="L87" s="4"/>
      <c r="M87" s="4"/>
      <c r="N87" s="4"/>
      <c r="O87" s="4"/>
    </row>
    <row r="88" spans="2:15" s="3" customFormat="1">
      <c r="B88" s="5"/>
      <c r="C88" s="4" t="s">
        <v>37</v>
      </c>
      <c r="D88" s="4"/>
      <c r="E88" s="4"/>
      <c r="F88" s="4"/>
      <c r="G88" s="4"/>
      <c r="H88" s="4"/>
      <c r="I88" s="4"/>
      <c r="J88" s="4"/>
      <c r="K88" s="4"/>
      <c r="L88" s="4"/>
      <c r="M88" s="4"/>
      <c r="N88" s="4"/>
      <c r="O88" s="4"/>
    </row>
    <row r="89" spans="2:15" s="3" customFormat="1">
      <c r="B89" s="5"/>
      <c r="C89" s="4" t="s">
        <v>37</v>
      </c>
      <c r="D89" s="4"/>
      <c r="E89" s="4"/>
      <c r="F89" s="4"/>
      <c r="G89" s="4"/>
      <c r="H89" s="4"/>
      <c r="I89" s="4"/>
      <c r="J89" s="4"/>
      <c r="K89" s="4"/>
      <c r="L89" s="4"/>
      <c r="M89" s="4"/>
      <c r="N89" s="4"/>
      <c r="O89" s="4"/>
    </row>
    <row r="90" spans="2:15" s="3" customFormat="1">
      <c r="B90" s="5"/>
      <c r="C90" s="83" t="s">
        <v>36</v>
      </c>
      <c r="D90" s="83"/>
      <c r="E90" s="83"/>
      <c r="F90" s="4"/>
      <c r="G90" s="4"/>
      <c r="H90" s="4"/>
      <c r="I90" s="4"/>
      <c r="J90" s="4"/>
      <c r="K90" s="4"/>
      <c r="L90" s="4"/>
      <c r="M90" s="4"/>
      <c r="N90" s="4"/>
      <c r="O90" s="4"/>
    </row>
    <row r="91" spans="2:15" s="3" customFormat="1">
      <c r="B91" s="5"/>
      <c r="C91" s="4" t="s">
        <v>37</v>
      </c>
      <c r="D91" s="4"/>
      <c r="E91" s="4"/>
      <c r="F91" s="4"/>
      <c r="G91" s="4"/>
      <c r="H91" s="4"/>
      <c r="I91" s="4"/>
      <c r="J91" s="4"/>
      <c r="K91" s="4"/>
      <c r="L91" s="4"/>
      <c r="M91" s="4"/>
      <c r="N91" s="4"/>
      <c r="O91" s="4"/>
    </row>
    <row r="92" spans="2:15" s="3" customFormat="1">
      <c r="B92" s="5"/>
      <c r="C92" s="4" t="s">
        <v>37</v>
      </c>
      <c r="D92" s="4"/>
      <c r="E92" s="4"/>
      <c r="F92" s="4"/>
      <c r="G92" s="4"/>
      <c r="H92" s="4"/>
      <c r="I92" s="4"/>
      <c r="J92" s="4"/>
      <c r="K92" s="4"/>
      <c r="L92" s="4"/>
      <c r="M92" s="4"/>
      <c r="N92" s="4"/>
      <c r="O92" s="4"/>
    </row>
    <row r="93" spans="2:15" s="3" customFormat="1">
      <c r="B93" s="5"/>
      <c r="C93" s="5" t="s">
        <v>34</v>
      </c>
      <c r="D93" s="5"/>
      <c r="E93" s="5"/>
      <c r="F93" s="4"/>
      <c r="G93" s="4"/>
      <c r="H93" s="4"/>
      <c r="I93" s="4"/>
      <c r="J93" s="4"/>
      <c r="K93" s="4"/>
      <c r="L93" s="4"/>
      <c r="M93" s="4"/>
      <c r="N93" s="4"/>
      <c r="O93" s="4"/>
    </row>
    <row r="94" spans="2:15" s="3" customFormat="1">
      <c r="B94" s="5"/>
      <c r="C94" s="4" t="s">
        <v>37</v>
      </c>
      <c r="D94" s="4"/>
      <c r="E94" s="4"/>
      <c r="F94" s="4"/>
      <c r="G94" s="4"/>
      <c r="H94" s="4"/>
      <c r="I94" s="4"/>
      <c r="J94" s="4"/>
      <c r="K94" s="4"/>
      <c r="L94" s="4"/>
      <c r="M94" s="4"/>
      <c r="N94" s="4"/>
      <c r="O94" s="4"/>
    </row>
    <row r="95" spans="2:15" s="3" customFormat="1">
      <c r="B95" s="5"/>
      <c r="C95" s="4" t="s">
        <v>37</v>
      </c>
      <c r="D95" s="4"/>
      <c r="E95" s="4"/>
      <c r="F95" s="4"/>
      <c r="G95" s="4"/>
      <c r="H95" s="4"/>
      <c r="I95" s="4"/>
      <c r="J95" s="4"/>
      <c r="K95" s="4"/>
      <c r="L95" s="4"/>
      <c r="M95" s="4"/>
      <c r="N95" s="4"/>
      <c r="O95" s="4"/>
    </row>
    <row r="96" spans="2:15" s="3" customFormat="1">
      <c r="B96" s="5"/>
      <c r="C96" s="85"/>
      <c r="D96" s="85"/>
      <c r="E96" s="85"/>
      <c r="F96" s="4"/>
      <c r="G96" s="4"/>
      <c r="H96" s="4"/>
      <c r="I96" s="4"/>
      <c r="J96" s="4"/>
      <c r="K96" s="4"/>
      <c r="L96" s="4"/>
      <c r="M96" s="4"/>
      <c r="N96" s="4"/>
      <c r="O96" s="4"/>
    </row>
    <row r="97" spans="2:15" s="3" customFormat="1">
      <c r="B97" s="5"/>
      <c r="C97" s="81" t="s">
        <v>148</v>
      </c>
      <c r="D97" s="81"/>
      <c r="E97" s="81"/>
      <c r="F97" s="4"/>
      <c r="G97" s="4"/>
      <c r="H97" s="4"/>
      <c r="I97" s="4"/>
      <c r="J97" s="4"/>
      <c r="K97" s="4"/>
      <c r="L97" s="4"/>
      <c r="M97" s="4"/>
      <c r="N97" s="4"/>
      <c r="O97" s="4"/>
    </row>
    <row r="98" spans="2:15" s="3" customFormat="1">
      <c r="B98" s="5"/>
      <c r="C98" s="4" t="s">
        <v>37</v>
      </c>
      <c r="D98" s="4"/>
      <c r="E98" s="4"/>
      <c r="F98" s="4"/>
      <c r="G98" s="4"/>
      <c r="H98" s="4"/>
      <c r="I98" s="4"/>
      <c r="J98" s="4"/>
      <c r="K98" s="4"/>
      <c r="L98" s="4"/>
      <c r="M98" s="4"/>
      <c r="N98" s="4"/>
      <c r="O98" s="4"/>
    </row>
    <row r="99" spans="2:15" s="3" customFormat="1">
      <c r="B99" s="5"/>
      <c r="C99" s="4" t="s">
        <v>37</v>
      </c>
      <c r="D99" s="4"/>
      <c r="E99" s="4"/>
      <c r="F99" s="4"/>
      <c r="G99" s="4"/>
      <c r="H99" s="4"/>
      <c r="I99" s="4"/>
      <c r="J99" s="4"/>
      <c r="K99" s="4"/>
      <c r="L99" s="4"/>
      <c r="M99" s="4"/>
      <c r="N99" s="4"/>
      <c r="O99" s="4"/>
    </row>
    <row r="100" spans="2:15" s="3" customFormat="1">
      <c r="B100" s="5"/>
      <c r="C100" s="85"/>
      <c r="D100" s="85"/>
      <c r="E100" s="85"/>
      <c r="F100" s="4"/>
      <c r="G100" s="4"/>
      <c r="H100" s="4"/>
      <c r="I100" s="4"/>
      <c r="J100" s="4"/>
      <c r="K100" s="4"/>
      <c r="L100" s="4"/>
      <c r="M100" s="4"/>
      <c r="N100" s="4"/>
      <c r="O100" s="4"/>
    </row>
    <row r="101" spans="2:15" s="3" customFormat="1">
      <c r="B101" s="5"/>
      <c r="C101" s="81" t="s">
        <v>149</v>
      </c>
      <c r="D101" s="81"/>
      <c r="E101" s="81"/>
      <c r="F101" s="4"/>
      <c r="G101" s="4"/>
      <c r="H101" s="4"/>
      <c r="I101" s="4"/>
      <c r="J101" s="4"/>
      <c r="K101" s="4"/>
      <c r="L101" s="4"/>
      <c r="M101" s="4"/>
      <c r="N101" s="4"/>
      <c r="O101" s="4"/>
    </row>
    <row r="102" spans="2:15" s="3" customFormat="1">
      <c r="B102" s="5"/>
      <c r="C102" s="4" t="s">
        <v>37</v>
      </c>
      <c r="D102" s="4"/>
      <c r="E102" s="4"/>
      <c r="F102" s="4"/>
      <c r="G102" s="4"/>
      <c r="H102" s="4"/>
      <c r="I102" s="4"/>
      <c r="J102" s="4"/>
      <c r="K102" s="4"/>
      <c r="L102" s="4"/>
      <c r="M102" s="4"/>
      <c r="N102" s="4"/>
      <c r="O102" s="4"/>
    </row>
    <row r="103" spans="2:15" s="3" customFormat="1">
      <c r="B103" s="5"/>
      <c r="C103" s="4" t="s">
        <v>37</v>
      </c>
      <c r="D103" s="4"/>
      <c r="E103" s="4"/>
      <c r="F103" s="4"/>
      <c r="G103" s="4"/>
      <c r="H103" s="4"/>
      <c r="I103" s="4"/>
      <c r="J103" s="4"/>
      <c r="K103" s="4"/>
      <c r="L103" s="4"/>
      <c r="M103" s="4"/>
      <c r="N103" s="4"/>
      <c r="O103" s="4"/>
    </row>
    <row r="104" spans="2:15">
      <c r="B104" s="2"/>
      <c r="C104" s="215" t="s">
        <v>5</v>
      </c>
      <c r="D104" s="215"/>
      <c r="E104" s="215"/>
      <c r="F104" s="2"/>
      <c r="G104" s="2"/>
      <c r="H104" s="2"/>
      <c r="I104" s="2"/>
      <c r="J104" s="2"/>
      <c r="K104" s="2"/>
      <c r="L104" s="2"/>
      <c r="M104" s="2"/>
      <c r="N104" s="2"/>
      <c r="O104" s="2"/>
    </row>
  </sheetData>
  <mergeCells count="31">
    <mergeCell ref="O10:O12"/>
    <mergeCell ref="G18:G20"/>
    <mergeCell ref="H18:H20"/>
    <mergeCell ref="J18:J20"/>
    <mergeCell ref="B10:B12"/>
    <mergeCell ref="C10:C12"/>
    <mergeCell ref="D10:D12"/>
    <mergeCell ref="E10:E12"/>
    <mergeCell ref="F10:F12"/>
    <mergeCell ref="G10:G12"/>
    <mergeCell ref="H10:H12"/>
    <mergeCell ref="I10:I12"/>
    <mergeCell ref="J10:J12"/>
    <mergeCell ref="K10:N11"/>
    <mergeCell ref="I18:I20"/>
    <mergeCell ref="K18:K20"/>
    <mergeCell ref="B58:B60"/>
    <mergeCell ref="C58:C60"/>
    <mergeCell ref="D58:D60"/>
    <mergeCell ref="E58:E60"/>
    <mergeCell ref="F58:F60"/>
    <mergeCell ref="L18:L20"/>
    <mergeCell ref="M18:M20"/>
    <mergeCell ref="N18:N20"/>
    <mergeCell ref="O18:O20"/>
    <mergeCell ref="G58:G60"/>
    <mergeCell ref="H58:H60"/>
    <mergeCell ref="I58:I60"/>
    <mergeCell ref="J58:J60"/>
    <mergeCell ref="K58:N59"/>
    <mergeCell ref="O58:O60"/>
  </mergeCells>
  <printOptions verticalCentered="1"/>
  <pageMargins left="0" right="0" top="0.23622047244094491" bottom="0.23622047244094491" header="0.23622047244094491" footer="0.23622047244094491"/>
  <pageSetup paperSize="9" scale="52" fitToHeight="2" orientation="landscape" r:id="rId1"/>
  <headerFooter alignWithMargins="0">
    <oddHeader>&amp;F</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sheetPr>
  <dimension ref="A1:AI87"/>
  <sheetViews>
    <sheetView showGridLines="0" view="pageBreakPreview" topLeftCell="A78" zoomScale="90" zoomScaleNormal="68" zoomScaleSheetLayoutView="90" workbookViewId="0">
      <selection activeCell="C11" sqref="C11:C12"/>
    </sheetView>
  </sheetViews>
  <sheetFormatPr defaultColWidth="9.140625" defaultRowHeight="15"/>
  <cols>
    <col min="1" max="1" width="4.140625" style="155" customWidth="1"/>
    <col min="2" max="2" width="6.28515625" style="155" customWidth="1"/>
    <col min="3" max="3" width="36.140625" style="155" customWidth="1"/>
    <col min="4" max="4" width="18.7109375" style="155" customWidth="1"/>
    <col min="5" max="5" width="20.7109375" style="155" customWidth="1"/>
    <col min="6" max="24" width="18.7109375" style="155" customWidth="1"/>
    <col min="25" max="16384" width="9.140625" style="155"/>
  </cols>
  <sheetData>
    <row r="1" spans="1:20">
      <c r="B1" s="46"/>
    </row>
    <row r="2" spans="1:20">
      <c r="B2" s="154"/>
      <c r="D2" s="22"/>
      <c r="E2" s="22"/>
      <c r="G2" s="22"/>
      <c r="H2" s="742" t="s">
        <v>906</v>
      </c>
      <c r="I2" s="22"/>
      <c r="J2" s="22"/>
      <c r="K2" s="22"/>
      <c r="L2" s="22"/>
      <c r="M2" s="22"/>
      <c r="N2" s="22"/>
      <c r="O2" s="22"/>
      <c r="P2" s="22"/>
      <c r="Q2" s="22"/>
      <c r="R2" s="22"/>
      <c r="S2" s="22"/>
      <c r="T2" s="22"/>
    </row>
    <row r="3" spans="1:20">
      <c r="B3" s="154"/>
      <c r="D3" s="54"/>
      <c r="E3" s="54"/>
      <c r="G3" s="54"/>
      <c r="H3" s="373" t="s">
        <v>724</v>
      </c>
      <c r="I3" s="54"/>
      <c r="J3" s="54"/>
      <c r="K3" s="54"/>
      <c r="L3" s="54"/>
      <c r="M3" s="54"/>
      <c r="N3" s="54"/>
      <c r="O3" s="54"/>
      <c r="P3" s="54"/>
      <c r="Q3" s="22"/>
      <c r="R3" s="22"/>
      <c r="S3" s="22"/>
      <c r="T3" s="22"/>
    </row>
    <row r="4" spans="1:20">
      <c r="B4" s="22"/>
      <c r="D4" s="55"/>
      <c r="E4" s="56"/>
      <c r="G4" s="56"/>
      <c r="H4" s="62" t="s">
        <v>317</v>
      </c>
      <c r="I4" s="22"/>
      <c r="J4" s="22"/>
      <c r="K4" s="22"/>
      <c r="L4" s="22"/>
      <c r="M4" s="22"/>
      <c r="N4" s="22"/>
      <c r="O4" s="22"/>
      <c r="P4" s="22"/>
      <c r="Q4" s="22"/>
      <c r="R4" s="22"/>
      <c r="S4" s="22"/>
      <c r="T4" s="22"/>
    </row>
    <row r="5" spans="1:20">
      <c r="C5" s="46"/>
      <c r="E5" s="10"/>
      <c r="G5" s="10"/>
      <c r="H5" s="10"/>
    </row>
    <row r="6" spans="1:20">
      <c r="C6" s="46"/>
      <c r="E6" s="10"/>
      <c r="G6" s="10"/>
      <c r="H6" s="10"/>
    </row>
    <row r="7" spans="1:20">
      <c r="C7" s="46" t="s">
        <v>319</v>
      </c>
      <c r="E7" s="10"/>
      <c r="G7" s="10"/>
      <c r="H7" s="10"/>
    </row>
    <row r="8" spans="1:20">
      <c r="C8" s="46"/>
      <c r="E8" s="10"/>
      <c r="G8" s="10"/>
      <c r="H8" s="10"/>
    </row>
    <row r="9" spans="1:20">
      <c r="C9" s="46"/>
      <c r="E9" s="10"/>
      <c r="G9" s="10"/>
      <c r="H9" s="10"/>
    </row>
    <row r="10" spans="1:20">
      <c r="A10" s="155" t="s">
        <v>109</v>
      </c>
      <c r="B10" s="46" t="s">
        <v>110</v>
      </c>
      <c r="C10" s="46"/>
      <c r="E10" s="10"/>
      <c r="G10" s="10"/>
      <c r="H10" s="10"/>
    </row>
    <row r="11" spans="1:20">
      <c r="B11" s="57"/>
      <c r="C11" s="154"/>
      <c r="E11" s="10"/>
      <c r="G11" s="10"/>
      <c r="H11" s="10"/>
      <c r="O11" s="52" t="s">
        <v>16</v>
      </c>
    </row>
    <row r="12" spans="1:20" ht="15.75" customHeight="1">
      <c r="B12" s="1376" t="s">
        <v>157</v>
      </c>
      <c r="C12" s="1376" t="s">
        <v>49</v>
      </c>
      <c r="D12" s="1465" t="s">
        <v>38</v>
      </c>
      <c r="E12" s="1465"/>
      <c r="F12" s="1465"/>
      <c r="G12" s="1465"/>
      <c r="H12" s="1376" t="s">
        <v>146</v>
      </c>
      <c r="I12" s="1376"/>
      <c r="J12" s="1376"/>
      <c r="K12" s="1376"/>
      <c r="L12" s="1376" t="s">
        <v>147</v>
      </c>
      <c r="M12" s="1376"/>
      <c r="N12" s="1376"/>
      <c r="O12" s="1376"/>
    </row>
    <row r="13" spans="1:20" ht="15.75" customHeight="1">
      <c r="B13" s="1376"/>
      <c r="C13" s="1376"/>
      <c r="D13" s="1465" t="s">
        <v>12</v>
      </c>
      <c r="E13" s="1466"/>
      <c r="F13" s="1466"/>
      <c r="G13" s="1466"/>
      <c r="H13" s="1465" t="s">
        <v>12</v>
      </c>
      <c r="I13" s="1466"/>
      <c r="J13" s="1466"/>
      <c r="K13" s="1466"/>
      <c r="L13" s="1465" t="s">
        <v>688</v>
      </c>
      <c r="M13" s="1466"/>
      <c r="N13" s="1466"/>
      <c r="O13" s="1466"/>
    </row>
    <row r="14" spans="1:20" s="38" customFormat="1" ht="42.75">
      <c r="B14" s="1376"/>
      <c r="C14" s="1376"/>
      <c r="D14" s="365" t="s">
        <v>111</v>
      </c>
      <c r="E14" s="365" t="s">
        <v>112</v>
      </c>
      <c r="F14" s="365" t="s">
        <v>113</v>
      </c>
      <c r="G14" s="365" t="s">
        <v>114</v>
      </c>
      <c r="H14" s="365" t="s">
        <v>111</v>
      </c>
      <c r="I14" s="365" t="s">
        <v>112</v>
      </c>
      <c r="J14" s="365" t="s">
        <v>113</v>
      </c>
      <c r="K14" s="365" t="s">
        <v>114</v>
      </c>
      <c r="L14" s="365" t="s">
        <v>111</v>
      </c>
      <c r="M14" s="365" t="s">
        <v>112</v>
      </c>
      <c r="N14" s="365" t="s">
        <v>113</v>
      </c>
      <c r="O14" s="365" t="s">
        <v>114</v>
      </c>
    </row>
    <row r="15" spans="1:20" s="39" customFormat="1">
      <c r="B15" s="73">
        <v>1</v>
      </c>
      <c r="C15" s="684" t="s">
        <v>978</v>
      </c>
      <c r="D15" s="686">
        <f>+'F5.1'!D15+'F5.2'!D15</f>
        <v>0.08</v>
      </c>
      <c r="E15" s="686">
        <f>+'F5.1'!E15+'F5.2'!E15</f>
        <v>0</v>
      </c>
      <c r="F15" s="686">
        <f>+'F5.1'!F15+'F5.2'!F15</f>
        <v>0</v>
      </c>
      <c r="G15" s="686">
        <f>+'F5.1'!G15+'F5.2'!G15</f>
        <v>0.08</v>
      </c>
      <c r="H15" s="686">
        <f>+'F5.1'!H15+'F5.2'!H15</f>
        <v>0.08</v>
      </c>
      <c r="I15" s="686">
        <f>+'F5.1'!I15+'F5.2'!I15</f>
        <v>0</v>
      </c>
      <c r="J15" s="686">
        <f>+'F5.1'!J15+'F5.2'!J15</f>
        <v>0</v>
      </c>
      <c r="K15" s="686">
        <f>+'F5.1'!K15+'F5.2'!K15</f>
        <v>0.08</v>
      </c>
      <c r="L15" s="686">
        <f>+'F5.1'!L15+'F5.2'!L15</f>
        <v>0.08</v>
      </c>
      <c r="M15" s="686">
        <f>+'F5.1'!M15+'F5.2'!M15</f>
        <v>0</v>
      </c>
      <c r="N15" s="686">
        <f>+'F5.1'!N15+'F5.2'!N15</f>
        <v>0</v>
      </c>
      <c r="O15" s="686">
        <f>+'F5.1'!O15+'F5.2'!O15</f>
        <v>0.08</v>
      </c>
    </row>
    <row r="16" spans="1:20" s="10" customFormat="1">
      <c r="B16" s="78">
        <f>+B15+1</f>
        <v>2</v>
      </c>
      <c r="C16" s="684" t="s">
        <v>979</v>
      </c>
      <c r="D16" s="686">
        <f>+'F5.1'!D16+'F5.2'!D16</f>
        <v>10.45</v>
      </c>
      <c r="E16" s="686">
        <f>+'F5.1'!E16+'F5.2'!E16</f>
        <v>0</v>
      </c>
      <c r="F16" s="686">
        <f>+'F5.1'!F16+'F5.2'!F16</f>
        <v>0</v>
      </c>
      <c r="G16" s="686">
        <f>+'F5.1'!G16+'F5.2'!G16</f>
        <v>10.45</v>
      </c>
      <c r="H16" s="686">
        <f>+'F5.1'!H16+'F5.2'!H16</f>
        <v>10.45</v>
      </c>
      <c r="I16" s="686">
        <f>+'F5.1'!I16+'F5.2'!I16</f>
        <v>0</v>
      </c>
      <c r="J16" s="686">
        <f>+'F5.1'!J16+'F5.2'!J16</f>
        <v>0</v>
      </c>
      <c r="K16" s="686">
        <f>+'F5.1'!K16+'F5.2'!K16</f>
        <v>10.45</v>
      </c>
      <c r="L16" s="686">
        <f>+'F5.1'!L16+'F5.2'!L16</f>
        <v>10.45</v>
      </c>
      <c r="M16" s="686">
        <f>+'F5.1'!M16+'F5.2'!M16</f>
        <v>0</v>
      </c>
      <c r="N16" s="686">
        <f>+'F5.1'!N16+'F5.2'!N16</f>
        <v>0</v>
      </c>
      <c r="O16" s="686">
        <f>+'F5.1'!O16+'F5.2'!O16</f>
        <v>10.45</v>
      </c>
    </row>
    <row r="17" spans="2:19" s="10" customFormat="1">
      <c r="B17" s="78">
        <f t="shared" ref="B17:B21" si="0">+B16+1</f>
        <v>3</v>
      </c>
      <c r="C17" s="684" t="s">
        <v>106</v>
      </c>
      <c r="D17" s="686">
        <f>+'F5.1'!D17+'F5.2'!D17</f>
        <v>34.190000000000005</v>
      </c>
      <c r="E17" s="686">
        <f>+'F5.1'!E17+'F5.2'!E17</f>
        <v>7.7340200000000001</v>
      </c>
      <c r="F17" s="686">
        <f>+'F5.1'!F17+'F5.2'!F17</f>
        <v>0</v>
      </c>
      <c r="G17" s="686">
        <f>+'F5.1'!G17+'F5.2'!G17</f>
        <v>41.924020000000006</v>
      </c>
      <c r="H17" s="686">
        <f>+'F5.1'!H17+'F5.2'!H17</f>
        <v>41.924020000000006</v>
      </c>
      <c r="I17" s="686">
        <f>+'F5.1'!I17+'F5.2'!I17</f>
        <v>0.54761740000000003</v>
      </c>
      <c r="J17" s="686">
        <f>+'F5.1'!J17+'F5.2'!J17</f>
        <v>0</v>
      </c>
      <c r="K17" s="686">
        <f>+'F5.1'!K17+'F5.2'!K17</f>
        <v>42.471637400000006</v>
      </c>
      <c r="L17" s="686">
        <f>+'F5.1'!L17+'F5.2'!L17</f>
        <v>42.471637400000006</v>
      </c>
      <c r="M17" s="686">
        <f>+'F5.1'!M17+'F5.2'!M17</f>
        <v>0.42</v>
      </c>
      <c r="N17" s="686">
        <f>+'F5.1'!N17+'F5.2'!N17</f>
        <v>0</v>
      </c>
      <c r="O17" s="686">
        <f>+'F5.1'!O17+'F5.2'!O17</f>
        <v>42.891637400000008</v>
      </c>
    </row>
    <row r="18" spans="2:19" s="10" customFormat="1">
      <c r="B18" s="78">
        <f t="shared" si="0"/>
        <v>4</v>
      </c>
      <c r="C18" s="684" t="s">
        <v>952</v>
      </c>
      <c r="D18" s="686">
        <f>+'F5.1'!D18+'F5.2'!D18</f>
        <v>0</v>
      </c>
      <c r="E18" s="686">
        <f>+'F5.1'!E18+'F5.2'!E18</f>
        <v>8.9950000000000013E-3</v>
      </c>
      <c r="F18" s="686">
        <f>+'F5.1'!F18+'F5.2'!F18</f>
        <v>0</v>
      </c>
      <c r="G18" s="686">
        <f>+'F5.1'!G18+'F5.2'!G18</f>
        <v>8.9950000000000013E-3</v>
      </c>
      <c r="H18" s="686">
        <f>+'F5.1'!H18+'F5.2'!H18</f>
        <v>8.9950000000000013E-3</v>
      </c>
      <c r="I18" s="686">
        <f>+'F5.1'!I18+'F5.2'!I18</f>
        <v>0</v>
      </c>
      <c r="J18" s="686">
        <f>+'F5.1'!J18+'F5.2'!J18</f>
        <v>0</v>
      </c>
      <c r="K18" s="686">
        <f>+'F5.1'!K18+'F5.2'!K18</f>
        <v>8.9950000000000013E-3</v>
      </c>
      <c r="L18" s="686">
        <f>+'F5.1'!L18+'F5.2'!L18</f>
        <v>8.9950000000000013E-3</v>
      </c>
      <c r="M18" s="686">
        <f>+'F5.1'!M18+'F5.2'!M18</f>
        <v>0</v>
      </c>
      <c r="N18" s="686">
        <f>+'F5.1'!N18+'F5.2'!N18</f>
        <v>0</v>
      </c>
      <c r="O18" s="686">
        <f>+'F5.1'!O18+'F5.2'!O18</f>
        <v>8.9950000000000013E-3</v>
      </c>
    </row>
    <row r="19" spans="2:19">
      <c r="B19" s="78">
        <f t="shared" si="0"/>
        <v>5</v>
      </c>
      <c r="C19" s="684" t="s">
        <v>985</v>
      </c>
      <c r="D19" s="686">
        <f>+'F5.1'!D19+'F5.2'!D19</f>
        <v>0</v>
      </c>
      <c r="E19" s="686">
        <f>+'F5.1'!E19+'F5.2'!E19</f>
        <v>8.9479999999999996E-4</v>
      </c>
      <c r="F19" s="686">
        <f>+'F5.1'!F19+'F5.2'!F19</f>
        <v>0</v>
      </c>
      <c r="G19" s="686">
        <f>+'F5.1'!G19+'F5.2'!G19</f>
        <v>8.9479999999999996E-4</v>
      </c>
      <c r="H19" s="686">
        <f>+'F5.1'!H19+'F5.2'!H19</f>
        <v>8.9479999999999996E-4</v>
      </c>
      <c r="I19" s="686">
        <f>+'F5.1'!I19+'F5.2'!I19</f>
        <v>0</v>
      </c>
      <c r="J19" s="686">
        <f>+'F5.1'!J19+'F5.2'!J19</f>
        <v>0</v>
      </c>
      <c r="K19" s="686">
        <f>+'F5.1'!K19+'F5.2'!K19</f>
        <v>8.9479999999999996E-4</v>
      </c>
      <c r="L19" s="686">
        <f>+'F5.1'!L19+'F5.2'!L19</f>
        <v>8.9479999999999996E-4</v>
      </c>
      <c r="M19" s="686">
        <f>+'F5.1'!M19+'F5.2'!M19</f>
        <v>0</v>
      </c>
      <c r="N19" s="686">
        <f>+'F5.1'!N19+'F5.2'!N19</f>
        <v>0</v>
      </c>
      <c r="O19" s="686">
        <f>+'F5.1'!O19+'F5.2'!O19</f>
        <v>8.9479999999999996E-4</v>
      </c>
    </row>
    <row r="20" spans="2:19">
      <c r="B20" s="78">
        <f t="shared" si="0"/>
        <v>6</v>
      </c>
      <c r="C20" s="684" t="s">
        <v>986</v>
      </c>
      <c r="D20" s="686">
        <f>+'F5.1'!D20+'F5.2'!D20</f>
        <v>0</v>
      </c>
      <c r="E20" s="686">
        <f>+'F5.1'!E20+'F5.2'!E20</f>
        <v>9.3396300000000002E-2</v>
      </c>
      <c r="F20" s="686">
        <f>+'F5.1'!F20+'F5.2'!F20</f>
        <v>0</v>
      </c>
      <c r="G20" s="686">
        <f>+'F5.1'!G20+'F5.2'!G20</f>
        <v>9.3396300000000002E-2</v>
      </c>
      <c r="H20" s="686">
        <f>+'F5.1'!H20+'F5.2'!H20</f>
        <v>9.3396300000000002E-2</v>
      </c>
      <c r="I20" s="686">
        <f>+'F5.1'!I20+'F5.2'!I20</f>
        <v>0</v>
      </c>
      <c r="J20" s="686">
        <f>+'F5.1'!J20+'F5.2'!J20</f>
        <v>0</v>
      </c>
      <c r="K20" s="686">
        <f>+'F5.1'!K20+'F5.2'!K20</f>
        <v>9.3396300000000002E-2</v>
      </c>
      <c r="L20" s="686">
        <f>+'F5.1'!L20+'F5.2'!L20</f>
        <v>9.3396300000000002E-2</v>
      </c>
      <c r="M20" s="686">
        <f>+'F5.1'!M20+'F5.2'!M20</f>
        <v>0</v>
      </c>
      <c r="N20" s="686">
        <f>+'F5.1'!N20+'F5.2'!N20</f>
        <v>0</v>
      </c>
      <c r="O20" s="686">
        <f>+'F5.1'!O20+'F5.2'!O20</f>
        <v>9.3396300000000002E-2</v>
      </c>
    </row>
    <row r="21" spans="2:19" s="1" customFormat="1">
      <c r="B21" s="78">
        <f t="shared" si="0"/>
        <v>7</v>
      </c>
      <c r="C21" s="90" t="s">
        <v>115</v>
      </c>
      <c r="D21" s="714">
        <f>SUM(D15:D20)</f>
        <v>44.720000000000006</v>
      </c>
      <c r="E21" s="714">
        <f t="shared" ref="E21:O21" si="1">SUM(E15:E20)</f>
        <v>7.8373061000000002</v>
      </c>
      <c r="F21" s="714">
        <f t="shared" si="1"/>
        <v>0</v>
      </c>
      <c r="G21" s="714">
        <f t="shared" si="1"/>
        <v>52.557306100000005</v>
      </c>
      <c r="H21" s="714">
        <f t="shared" si="1"/>
        <v>52.557306100000005</v>
      </c>
      <c r="I21" s="714">
        <f t="shared" si="1"/>
        <v>0.54761740000000003</v>
      </c>
      <c r="J21" s="714">
        <f t="shared" si="1"/>
        <v>0</v>
      </c>
      <c r="K21" s="714">
        <f t="shared" si="1"/>
        <v>53.104923500000005</v>
      </c>
      <c r="L21" s="714">
        <f t="shared" si="1"/>
        <v>53.104923500000005</v>
      </c>
      <c r="M21" s="714">
        <f t="shared" si="1"/>
        <v>0.42</v>
      </c>
      <c r="N21" s="714">
        <f t="shared" si="1"/>
        <v>0</v>
      </c>
      <c r="O21" s="714">
        <f t="shared" si="1"/>
        <v>53.524923500000007</v>
      </c>
    </row>
    <row r="22" spans="2:19">
      <c r="B22" s="46"/>
      <c r="C22" s="154"/>
      <c r="E22" s="10"/>
      <c r="G22" s="10"/>
      <c r="H22" s="10"/>
      <c r="R22" s="52"/>
      <c r="S22" s="52"/>
    </row>
    <row r="23" spans="2:19">
      <c r="B23" s="46"/>
      <c r="C23" s="154"/>
      <c r="E23" s="10"/>
      <c r="G23" s="10"/>
      <c r="H23" s="10"/>
      <c r="K23" s="52" t="s">
        <v>16</v>
      </c>
      <c r="O23" s="378"/>
      <c r="R23" s="52"/>
    </row>
    <row r="24" spans="2:19" ht="15.75" customHeight="1">
      <c r="B24" s="1376" t="s">
        <v>157</v>
      </c>
      <c r="C24" s="1376" t="s">
        <v>49</v>
      </c>
      <c r="D24" s="1376" t="s">
        <v>148</v>
      </c>
      <c r="E24" s="1376"/>
      <c r="F24" s="1376"/>
      <c r="G24" s="1376"/>
      <c r="H24" s="1376" t="s">
        <v>149</v>
      </c>
      <c r="I24" s="1376"/>
      <c r="J24" s="1376"/>
      <c r="K24" s="1376"/>
      <c r="L24" s="1467"/>
      <c r="M24" s="1467"/>
      <c r="N24" s="1467"/>
      <c r="O24" s="1467"/>
      <c r="P24" s="919"/>
      <c r="Q24" s="919"/>
    </row>
    <row r="25" spans="2:19" ht="15.75" customHeight="1">
      <c r="B25" s="1376"/>
      <c r="C25" s="1376"/>
      <c r="D25" s="1465" t="s">
        <v>689</v>
      </c>
      <c r="E25" s="1466"/>
      <c r="F25" s="1466"/>
      <c r="G25" s="1466"/>
      <c r="H25" s="1465" t="s">
        <v>689</v>
      </c>
      <c r="I25" s="1466"/>
      <c r="J25" s="1466"/>
      <c r="K25" s="1466"/>
      <c r="L25" s="1467"/>
      <c r="M25" s="1467"/>
      <c r="N25" s="1467"/>
      <c r="O25" s="1467"/>
      <c r="P25" s="920"/>
      <c r="Q25" s="920"/>
    </row>
    <row r="26" spans="2:19" s="38" customFormat="1" ht="42.75">
      <c r="B26" s="1376"/>
      <c r="C26" s="1376"/>
      <c r="D26" s="365" t="s">
        <v>111</v>
      </c>
      <c r="E26" s="365" t="s">
        <v>112</v>
      </c>
      <c r="F26" s="365" t="s">
        <v>113</v>
      </c>
      <c r="G26" s="365" t="s">
        <v>114</v>
      </c>
      <c r="H26" s="901" t="s">
        <v>111</v>
      </c>
      <c r="I26" s="901" t="s">
        <v>112</v>
      </c>
      <c r="J26" s="901" t="s">
        <v>113</v>
      </c>
      <c r="K26" s="901" t="s">
        <v>114</v>
      </c>
      <c r="L26" s="1467"/>
      <c r="M26" s="1467"/>
      <c r="N26" s="1467"/>
      <c r="O26" s="1467"/>
      <c r="P26" s="902"/>
      <c r="Q26" s="902"/>
    </row>
    <row r="27" spans="2:19" s="39" customFormat="1">
      <c r="B27" s="73">
        <v>1</v>
      </c>
      <c r="C27" s="684" t="s">
        <v>978</v>
      </c>
      <c r="D27" s="686">
        <f>+'F5.1'!D27+'F5.2'!D27</f>
        <v>0.08</v>
      </c>
      <c r="E27" s="686">
        <f>+'F5.1'!E27+'F5.2'!E27</f>
        <v>0</v>
      </c>
      <c r="F27" s="686">
        <f>+'F5.1'!F27+'F5.2'!F27</f>
        <v>0</v>
      </c>
      <c r="G27" s="686">
        <f>+'F5.1'!G27+'F5.2'!G27</f>
        <v>0.08</v>
      </c>
      <c r="H27" s="686">
        <f>+'F5.1'!H27+'F5.2'!H27</f>
        <v>0.08</v>
      </c>
      <c r="I27" s="686">
        <f>+'F5.1'!I27+'F5.2'!I27</f>
        <v>0</v>
      </c>
      <c r="J27" s="686">
        <f>+'F5.1'!J27+'F5.2'!J27</f>
        <v>0</v>
      </c>
      <c r="K27" s="686">
        <f>+'F5.1'!K27+'F5.2'!K27</f>
        <v>0.08</v>
      </c>
      <c r="L27" s="380"/>
      <c r="M27" s="921"/>
      <c r="N27" s="922"/>
      <c r="O27" s="236"/>
      <c r="P27" s="922"/>
      <c r="Q27" s="922"/>
    </row>
    <row r="28" spans="2:19" s="10" customFormat="1">
      <c r="B28" s="78">
        <f>+B27+1</f>
        <v>2</v>
      </c>
      <c r="C28" s="684" t="s">
        <v>979</v>
      </c>
      <c r="D28" s="686">
        <f>+'F5.1'!D28+'F5.2'!D28</f>
        <v>10.45</v>
      </c>
      <c r="E28" s="686">
        <f>+'F5.1'!E28+'F5.2'!E28</f>
        <v>0</v>
      </c>
      <c r="F28" s="686">
        <f>+'F5.1'!F28+'F5.2'!F28</f>
        <v>0</v>
      </c>
      <c r="G28" s="686">
        <f>+'F5.1'!G28+'F5.2'!G28</f>
        <v>10.45</v>
      </c>
      <c r="H28" s="686">
        <f>+'F5.1'!H28+'F5.2'!H28</f>
        <v>10.45</v>
      </c>
      <c r="I28" s="686">
        <f>+'F5.1'!I28+'F5.2'!I28</f>
        <v>0</v>
      </c>
      <c r="J28" s="686">
        <f>+'F5.1'!J28+'F5.2'!J28</f>
        <v>0</v>
      </c>
      <c r="K28" s="686">
        <f>+'F5.1'!K28+'F5.2'!K28</f>
        <v>10.45</v>
      </c>
      <c r="L28" s="923"/>
      <c r="M28" s="924"/>
      <c r="N28" s="922"/>
      <c r="O28" s="922"/>
      <c r="P28" s="922"/>
      <c r="Q28" s="922"/>
    </row>
    <row r="29" spans="2:19" s="10" customFormat="1">
      <c r="B29" s="78">
        <f t="shared" ref="B29:B33" si="2">+B28+1</f>
        <v>3</v>
      </c>
      <c r="C29" s="684" t="s">
        <v>106</v>
      </c>
      <c r="D29" s="686">
        <f>+'F5.1'!D29+'F5.2'!D29</f>
        <v>42.891637400000008</v>
      </c>
      <c r="E29" s="686">
        <f>+'F5.1'!E29+'F5.2'!E29</f>
        <v>0.9</v>
      </c>
      <c r="F29" s="686">
        <f>+'F5.1'!F29+'F5.2'!F29</f>
        <v>0</v>
      </c>
      <c r="G29" s="686">
        <f>+'F5.1'!G29+'F5.2'!G29</f>
        <v>43.791637399999999</v>
      </c>
      <c r="H29" s="686">
        <f>+'F5.1'!H29+'F5.2'!H29</f>
        <v>43.791637399999999</v>
      </c>
      <c r="I29" s="686">
        <f>+'F5.1'!I29+'F5.2'!I29</f>
        <v>0.9</v>
      </c>
      <c r="J29" s="686">
        <f>+'F5.1'!J29+'F5.2'!J29</f>
        <v>0</v>
      </c>
      <c r="K29" s="686">
        <f>+'F5.1'!K29+'F5.2'!K29</f>
        <v>44.691637400000005</v>
      </c>
      <c r="L29" s="923"/>
      <c r="M29" s="924"/>
      <c r="N29" s="922"/>
      <c r="O29" s="922"/>
      <c r="P29" s="922"/>
      <c r="Q29" s="922"/>
    </row>
    <row r="30" spans="2:19" s="10" customFormat="1">
      <c r="B30" s="78">
        <f t="shared" si="2"/>
        <v>4</v>
      </c>
      <c r="C30" s="684" t="s">
        <v>952</v>
      </c>
      <c r="D30" s="686">
        <f>+'F5.1'!D30+'F5.2'!D30</f>
        <v>8.9950000000000013E-3</v>
      </c>
      <c r="E30" s="686">
        <f>+'F5.1'!E30+'F5.2'!E30</f>
        <v>0</v>
      </c>
      <c r="F30" s="686">
        <f>+'F5.1'!F30+'F5.2'!F30</f>
        <v>0</v>
      </c>
      <c r="G30" s="686">
        <f>+'F5.1'!G30+'F5.2'!G30</f>
        <v>8.9950000000000013E-3</v>
      </c>
      <c r="H30" s="686">
        <f>+'F5.1'!H30+'F5.2'!H30</f>
        <v>8.9950000000000013E-3</v>
      </c>
      <c r="I30" s="686">
        <f>+'F5.1'!I30+'F5.2'!I30</f>
        <v>0</v>
      </c>
      <c r="J30" s="686">
        <f>+'F5.1'!J30+'F5.2'!J30</f>
        <v>0</v>
      </c>
      <c r="K30" s="686">
        <f>+'F5.1'!K30+'F5.2'!K30</f>
        <v>8.9950000000000013E-3</v>
      </c>
      <c r="L30" s="923"/>
      <c r="M30" s="924"/>
      <c r="N30" s="922"/>
      <c r="O30" s="922"/>
      <c r="P30" s="922"/>
      <c r="Q30" s="922"/>
    </row>
    <row r="31" spans="2:19">
      <c r="B31" s="78">
        <f t="shared" si="2"/>
        <v>5</v>
      </c>
      <c r="C31" s="684" t="s">
        <v>985</v>
      </c>
      <c r="D31" s="686">
        <f>+'F5.1'!D31+'F5.2'!D31</f>
        <v>8.9479999999999996E-4</v>
      </c>
      <c r="E31" s="686">
        <f>+'F5.1'!E31+'F5.2'!E31</f>
        <v>0</v>
      </c>
      <c r="F31" s="686">
        <f>+'F5.1'!F31+'F5.2'!F31</f>
        <v>0</v>
      </c>
      <c r="G31" s="686">
        <f>+'F5.1'!G31+'F5.2'!G31</f>
        <v>8.9479999999999996E-4</v>
      </c>
      <c r="H31" s="686">
        <f>+'F5.1'!H31+'F5.2'!H31</f>
        <v>8.9479999999999996E-4</v>
      </c>
      <c r="I31" s="686">
        <f>+'F5.1'!I31+'F5.2'!I31</f>
        <v>0</v>
      </c>
      <c r="J31" s="686">
        <f>+'F5.1'!J31+'F5.2'!J31</f>
        <v>0</v>
      </c>
      <c r="K31" s="686">
        <f>+'F5.1'!K31+'F5.2'!K31</f>
        <v>8.9479999999999996E-4</v>
      </c>
      <c r="L31" s="923"/>
      <c r="M31" s="924"/>
      <c r="N31" s="922"/>
      <c r="O31" s="922"/>
      <c r="P31" s="922"/>
      <c r="Q31" s="922"/>
    </row>
    <row r="32" spans="2:19">
      <c r="B32" s="78">
        <f t="shared" si="2"/>
        <v>6</v>
      </c>
      <c r="C32" s="684" t="s">
        <v>986</v>
      </c>
      <c r="D32" s="686">
        <f>+'F5.1'!D32+'F5.2'!D32</f>
        <v>9.3396300000000002E-2</v>
      </c>
      <c r="E32" s="686">
        <f>+'F5.1'!E32+'F5.2'!E32</f>
        <v>0</v>
      </c>
      <c r="F32" s="686">
        <f>+'F5.1'!F32+'F5.2'!F32</f>
        <v>0</v>
      </c>
      <c r="G32" s="686">
        <f>+'F5.1'!G32+'F5.2'!G32</f>
        <v>9.3396300000000002E-2</v>
      </c>
      <c r="H32" s="686">
        <f>+'F5.1'!H32+'F5.2'!H32</f>
        <v>9.3396300000000002E-2</v>
      </c>
      <c r="I32" s="686">
        <f>+'F5.1'!I32+'F5.2'!I32</f>
        <v>0</v>
      </c>
      <c r="J32" s="686">
        <f>+'F5.1'!J32+'F5.2'!J32</f>
        <v>0</v>
      </c>
      <c r="K32" s="686">
        <f>+'F5.1'!K32+'F5.2'!K32</f>
        <v>9.3396300000000002E-2</v>
      </c>
      <c r="L32" s="923"/>
      <c r="M32" s="921"/>
      <c r="N32" s="922"/>
      <c r="O32" s="922"/>
      <c r="P32" s="922"/>
      <c r="Q32" s="922"/>
    </row>
    <row r="33" spans="2:35" s="1" customFormat="1">
      <c r="B33" s="78">
        <f t="shared" si="2"/>
        <v>7</v>
      </c>
      <c r="C33" s="90" t="s">
        <v>115</v>
      </c>
      <c r="D33" s="714">
        <f>SUM(D27:D32)</f>
        <v>53.524923500000007</v>
      </c>
      <c r="E33" s="714">
        <f t="shared" ref="E33:K33" si="3">SUM(E27:E32)</f>
        <v>0.9</v>
      </c>
      <c r="F33" s="714">
        <f t="shared" si="3"/>
        <v>0</v>
      </c>
      <c r="G33" s="714">
        <f t="shared" si="3"/>
        <v>54.424923499999998</v>
      </c>
      <c r="H33" s="714">
        <f t="shared" si="3"/>
        <v>54.424923499999998</v>
      </c>
      <c r="I33" s="714">
        <f t="shared" si="3"/>
        <v>0.9</v>
      </c>
      <c r="J33" s="714">
        <f t="shared" si="3"/>
        <v>0</v>
      </c>
      <c r="K33" s="714">
        <f t="shared" si="3"/>
        <v>55.324923500000004</v>
      </c>
      <c r="L33" s="923"/>
      <c r="M33" s="924"/>
      <c r="N33" s="925"/>
      <c r="O33" s="925"/>
      <c r="P33" s="925"/>
      <c r="Q33" s="925"/>
    </row>
    <row r="34" spans="2:35" s="1" customFormat="1" ht="18">
      <c r="B34" s="43"/>
      <c r="C34" s="58"/>
      <c r="D34" s="43"/>
      <c r="E34" s="43"/>
      <c r="F34" s="43"/>
      <c r="G34" s="43"/>
      <c r="H34" s="43"/>
      <c r="I34" s="43"/>
      <c r="J34" s="43"/>
      <c r="K34" s="43"/>
      <c r="L34" s="381"/>
      <c r="M34" s="924"/>
      <c r="N34" s="381"/>
      <c r="O34" s="381"/>
      <c r="P34" s="381"/>
      <c r="Q34" s="381"/>
      <c r="R34" s="43"/>
      <c r="S34" s="43"/>
      <c r="T34" s="43"/>
      <c r="U34" s="43"/>
      <c r="V34" s="43"/>
      <c r="W34" s="43"/>
    </row>
    <row r="35" spans="2:35">
      <c r="L35" s="16"/>
      <c r="M35" s="924"/>
      <c r="N35" s="926"/>
      <c r="O35" s="16"/>
      <c r="P35" s="16"/>
      <c r="Q35" s="16"/>
    </row>
    <row r="36" spans="2:35">
      <c r="B36" s="46" t="s">
        <v>116</v>
      </c>
      <c r="L36" s="16"/>
      <c r="M36" s="924"/>
      <c r="N36" s="16"/>
      <c r="O36" s="16"/>
      <c r="P36" s="16"/>
      <c r="Q36" s="16"/>
    </row>
    <row r="37" spans="2:35">
      <c r="B37" s="46"/>
    </row>
    <row r="38" spans="2:35">
      <c r="E38" s="10"/>
      <c r="G38" s="10"/>
      <c r="H38" s="10"/>
      <c r="K38" s="52"/>
      <c r="O38" s="52" t="s">
        <v>16</v>
      </c>
      <c r="Q38" s="52"/>
    </row>
    <row r="39" spans="2:35" ht="15" customHeight="1">
      <c r="B39" s="1376" t="s">
        <v>157</v>
      </c>
      <c r="C39" s="1376" t="s">
        <v>49</v>
      </c>
      <c r="D39" s="1465" t="s">
        <v>38</v>
      </c>
      <c r="E39" s="1465"/>
      <c r="F39" s="1465"/>
      <c r="G39" s="1465"/>
      <c r="H39" s="1376" t="s">
        <v>146</v>
      </c>
      <c r="I39" s="1376"/>
      <c r="J39" s="1376"/>
      <c r="K39" s="1376"/>
      <c r="L39" s="1376" t="s">
        <v>147</v>
      </c>
      <c r="M39" s="1376"/>
      <c r="N39" s="1376"/>
      <c r="O39" s="1376"/>
    </row>
    <row r="40" spans="2:35">
      <c r="B40" s="1376"/>
      <c r="C40" s="1376"/>
      <c r="D40" s="1465" t="s">
        <v>12</v>
      </c>
      <c r="E40" s="1466"/>
      <c r="F40" s="1466"/>
      <c r="G40" s="1466"/>
      <c r="H40" s="1465" t="s">
        <v>12</v>
      </c>
      <c r="I40" s="1466"/>
      <c r="J40" s="1466"/>
      <c r="K40" s="1466"/>
      <c r="L40" s="1465" t="s">
        <v>688</v>
      </c>
      <c r="M40" s="1466"/>
      <c r="N40" s="1466"/>
      <c r="O40" s="1466"/>
    </row>
    <row r="41" spans="2:35" ht="57">
      <c r="B41" s="1376"/>
      <c r="C41" s="1376"/>
      <c r="D41" s="666" t="s">
        <v>993</v>
      </c>
      <c r="E41" s="666" t="s">
        <v>112</v>
      </c>
      <c r="F41" s="666" t="s">
        <v>113</v>
      </c>
      <c r="G41" s="666" t="s">
        <v>994</v>
      </c>
      <c r="H41" s="666" t="s">
        <v>993</v>
      </c>
      <c r="I41" s="666" t="s">
        <v>112</v>
      </c>
      <c r="J41" s="666" t="s">
        <v>113</v>
      </c>
      <c r="K41" s="666" t="s">
        <v>994</v>
      </c>
      <c r="L41" s="666" t="s">
        <v>993</v>
      </c>
      <c r="M41" s="666" t="s">
        <v>112</v>
      </c>
      <c r="N41" s="666" t="s">
        <v>113</v>
      </c>
      <c r="O41" s="666" t="s">
        <v>994</v>
      </c>
    </row>
    <row r="42" spans="2:35">
      <c r="B42" s="73">
        <v>1</v>
      </c>
      <c r="C42" s="684" t="s">
        <v>978</v>
      </c>
      <c r="D42" s="686">
        <f>+'F5.1'!D42+'F5.2'!D42</f>
        <v>0</v>
      </c>
      <c r="E42" s="686">
        <f>+'F5.1'!E42+'F5.2'!E42</f>
        <v>2.6719999999999999E-3</v>
      </c>
      <c r="F42" s="686">
        <f>+'F5.1'!F42+'F5.2'!F42</f>
        <v>0</v>
      </c>
      <c r="G42" s="686">
        <f>+'F5.1'!G42+'F5.2'!G42</f>
        <v>2.6719999999999999E-3</v>
      </c>
      <c r="H42" s="686">
        <f>+'F5.1'!H42+'F5.2'!H42</f>
        <v>2.6719999999999999E-3</v>
      </c>
      <c r="I42" s="686">
        <f>+'F5.1'!I42+'F5.2'!I42</f>
        <v>2.6719999999999999E-3</v>
      </c>
      <c r="J42" s="686">
        <f>+'F5.1'!J42+'F5.2'!J42</f>
        <v>0</v>
      </c>
      <c r="K42" s="686">
        <f>+'F5.1'!K42+'F5.2'!K42</f>
        <v>5.3439999999999998E-3</v>
      </c>
      <c r="L42" s="686">
        <f>+'F5.1'!L42+'F5.2'!L42</f>
        <v>5.3439999999999998E-3</v>
      </c>
      <c r="M42" s="686">
        <f>+'F5.1'!M42+'F5.2'!M42</f>
        <v>2.6719999999999999E-3</v>
      </c>
      <c r="N42" s="686">
        <f>+'F5.1'!N42+'F5.2'!N42</f>
        <v>0</v>
      </c>
      <c r="O42" s="686">
        <f>+'F5.1'!O42+'F5.2'!O42</f>
        <v>8.0159999999999988E-3</v>
      </c>
    </row>
    <row r="43" spans="2:35">
      <c r="B43" s="78">
        <f>+B42+1</f>
        <v>2</v>
      </c>
      <c r="C43" s="684" t="s">
        <v>979</v>
      </c>
      <c r="D43" s="686">
        <f>+'F5.1'!D43+'F5.2'!D43</f>
        <v>0</v>
      </c>
      <c r="E43" s="686">
        <f>+'F5.1'!E43+'F5.2'!E43</f>
        <v>0.34902999999999995</v>
      </c>
      <c r="F43" s="686">
        <f>+'F5.1'!F43+'F5.2'!F43</f>
        <v>0</v>
      </c>
      <c r="G43" s="686">
        <f>+'F5.1'!G43+'F5.2'!G43</f>
        <v>0.34902999999999995</v>
      </c>
      <c r="H43" s="686">
        <f>+'F5.1'!H43+'F5.2'!H43</f>
        <v>0.34902999999999995</v>
      </c>
      <c r="I43" s="686">
        <f>+'F5.1'!I43+'F5.2'!I43</f>
        <v>0.34902999999999995</v>
      </c>
      <c r="J43" s="686">
        <f>+'F5.1'!J43+'F5.2'!J43</f>
        <v>0</v>
      </c>
      <c r="K43" s="686">
        <f>+'F5.1'!K43+'F5.2'!K43</f>
        <v>0.6980599999999999</v>
      </c>
      <c r="L43" s="686">
        <f>+'F5.1'!L43+'F5.2'!L43</f>
        <v>0.6980599999999999</v>
      </c>
      <c r="M43" s="686">
        <f>+'F5.1'!M43+'F5.2'!M43</f>
        <v>0.34902999999999995</v>
      </c>
      <c r="N43" s="686">
        <f>+'F5.1'!N43+'F5.2'!N43</f>
        <v>0</v>
      </c>
      <c r="O43" s="686">
        <f>+'F5.1'!O43+'F5.2'!O43</f>
        <v>1.0470899999999999</v>
      </c>
    </row>
    <row r="44" spans="2:35">
      <c r="B44" s="78">
        <f t="shared" ref="B44:B48" si="4">+B43+1</f>
        <v>3</v>
      </c>
      <c r="C44" s="684" t="s">
        <v>106</v>
      </c>
      <c r="D44" s="686">
        <f>+'F5.1'!D44+'F5.2'!D44</f>
        <v>0</v>
      </c>
      <c r="E44" s="686">
        <f>+'F5.1'!E44+'F5.2'!E44</f>
        <v>2.0094101280000003</v>
      </c>
      <c r="F44" s="686">
        <f>+'F5.1'!F44+'F5.2'!F44</f>
        <v>0</v>
      </c>
      <c r="G44" s="686">
        <f>+'F5.1'!G44+'F5.2'!G44</f>
        <v>2.0094101280000003</v>
      </c>
      <c r="H44" s="686">
        <f>+'F5.1'!H44+'F5.2'!H44</f>
        <v>2.0094101280000003</v>
      </c>
      <c r="I44" s="686">
        <f>+'F5.1'!I44+'F5.2'!I44</f>
        <v>2.2280453553599999</v>
      </c>
      <c r="J44" s="686">
        <f>+'F5.1'!J44+'F5.2'!J44</f>
        <v>0</v>
      </c>
      <c r="K44" s="686">
        <f>+'F5.1'!K44+'F5.2'!K44</f>
        <v>4.2374554833599998</v>
      </c>
      <c r="L44" s="686">
        <f>+'F5.1'!L44+'F5.2'!L44</f>
        <v>4.2374554833599998</v>
      </c>
      <c r="M44" s="686">
        <f>+'F5.1'!M44+'F5.2'!M44</f>
        <v>2.2535904547200003</v>
      </c>
      <c r="N44" s="686">
        <f>+'F5.1'!N44+'F5.2'!N44</f>
        <v>0</v>
      </c>
      <c r="O44" s="686">
        <f>+'F5.1'!O44+'F5.2'!O44</f>
        <v>6.4910459380800001</v>
      </c>
    </row>
    <row r="45" spans="2:35">
      <c r="B45" s="78">
        <f t="shared" si="4"/>
        <v>4</v>
      </c>
      <c r="C45" s="684" t="s">
        <v>952</v>
      </c>
      <c r="D45" s="686">
        <f>+'F5.1'!D45+'F5.2'!D45</f>
        <v>0</v>
      </c>
      <c r="E45" s="686">
        <f>+'F5.1'!E45+'F5.2'!E45</f>
        <v>6.7462499999999999E-4</v>
      </c>
      <c r="F45" s="686">
        <f>+'F5.1'!F45+'F5.2'!F45</f>
        <v>0</v>
      </c>
      <c r="G45" s="686">
        <f>+'F5.1'!G45+'F5.2'!G45</f>
        <v>6.7462499999999999E-4</v>
      </c>
      <c r="H45" s="686">
        <f>+'F5.1'!H45+'F5.2'!H45</f>
        <v>6.7462499999999999E-4</v>
      </c>
      <c r="I45" s="686">
        <f>+'F5.1'!I45+'F5.2'!I45</f>
        <v>1.34925E-3</v>
      </c>
      <c r="J45" s="686">
        <f>+'F5.1'!J45+'F5.2'!J45</f>
        <v>0</v>
      </c>
      <c r="K45" s="686">
        <f>+'F5.1'!K45+'F5.2'!K45</f>
        <v>2.0238750000000001E-3</v>
      </c>
      <c r="L45" s="686">
        <f>+'F5.1'!L45+'F5.2'!L45</f>
        <v>2.0238750000000001E-3</v>
      </c>
      <c r="M45" s="686">
        <f>+'F5.1'!M45+'F5.2'!M45</f>
        <v>1.34925E-3</v>
      </c>
      <c r="N45" s="686">
        <f>+'F5.1'!N45+'F5.2'!N45</f>
        <v>0</v>
      </c>
      <c r="O45" s="686">
        <f>+'F5.1'!O45+'F5.2'!O45</f>
        <v>3.3731249999999998E-3</v>
      </c>
    </row>
    <row r="46" spans="2:35">
      <c r="B46" s="78">
        <f t="shared" si="4"/>
        <v>5</v>
      </c>
      <c r="C46" s="684" t="s">
        <v>985</v>
      </c>
      <c r="D46" s="686">
        <f>+'F5.1'!D46+'F5.2'!D46</f>
        <v>0</v>
      </c>
      <c r="E46" s="686">
        <f>+'F5.1'!E46+'F5.2'!E46</f>
        <v>2.8320419999999999E-5</v>
      </c>
      <c r="F46" s="686">
        <f>+'F5.1'!F46+'F5.2'!F46</f>
        <v>0</v>
      </c>
      <c r="G46" s="686">
        <f>+'F5.1'!G46+'F5.2'!G46</f>
        <v>2.8320419999999999E-5</v>
      </c>
      <c r="H46" s="686">
        <f>+'F5.1'!H46+'F5.2'!H46</f>
        <v>2.8320419999999999E-5</v>
      </c>
      <c r="I46" s="686">
        <f>+'F5.1'!I46+'F5.2'!I46</f>
        <v>5.6640839999999998E-5</v>
      </c>
      <c r="J46" s="686">
        <f>+'F5.1'!J46+'F5.2'!J46</f>
        <v>0</v>
      </c>
      <c r="K46" s="686">
        <f>+'F5.1'!K46+'F5.2'!K46</f>
        <v>8.4961259999999993E-5</v>
      </c>
      <c r="L46" s="686">
        <f>+'F5.1'!L46+'F5.2'!L46</f>
        <v>8.4961259999999993E-5</v>
      </c>
      <c r="M46" s="686">
        <f>+'F5.1'!M46+'F5.2'!M46</f>
        <v>5.6640839999999998E-5</v>
      </c>
      <c r="N46" s="686">
        <f>+'F5.1'!N46+'F5.2'!N46</f>
        <v>0</v>
      </c>
      <c r="O46" s="686">
        <f>+'F5.1'!O46+'F5.2'!O46</f>
        <v>1.4160209999999998E-4</v>
      </c>
    </row>
    <row r="47" spans="2:35">
      <c r="B47" s="78">
        <f t="shared" si="4"/>
        <v>6</v>
      </c>
      <c r="C47" s="684" t="s">
        <v>986</v>
      </c>
      <c r="D47" s="686">
        <f>+'F5.1'!D47+'F5.2'!D47</f>
        <v>0</v>
      </c>
      <c r="E47" s="686">
        <f>+'F5.1'!E47+'F5.2'!E47</f>
        <v>2.46566232E-3</v>
      </c>
      <c r="F47" s="686">
        <f>+'F5.1'!F47+'F5.2'!F47</f>
        <v>0</v>
      </c>
      <c r="G47" s="686">
        <f>+'F5.1'!G47+'F5.2'!G47</f>
        <v>2.46566232E-3</v>
      </c>
      <c r="H47" s="686">
        <f>+'F5.1'!H47+'F5.2'!H47</f>
        <v>2.46566232E-3</v>
      </c>
      <c r="I47" s="686">
        <f>+'F5.1'!I47+'F5.2'!I47</f>
        <v>2.8018889999999998E-2</v>
      </c>
      <c r="J47" s="686">
        <f>+'F5.1'!J47+'F5.2'!J47</f>
        <v>0</v>
      </c>
      <c r="K47" s="686">
        <f>+'F5.1'!K47+'F5.2'!K47</f>
        <v>3.048455232E-2</v>
      </c>
      <c r="L47" s="686">
        <f>+'F5.1'!L47+'F5.2'!L47</f>
        <v>3.048455232E-2</v>
      </c>
      <c r="M47" s="686">
        <f>+'F5.1'!M47+'F5.2'!M47</f>
        <v>2.8018889999999998E-2</v>
      </c>
      <c r="N47" s="686">
        <f>+'F5.1'!N47+'F5.2'!N47</f>
        <v>0</v>
      </c>
      <c r="O47" s="686">
        <f>+'F5.1'!O47+'F5.2'!O47</f>
        <v>5.8503442320000001E-2</v>
      </c>
    </row>
    <row r="48" spans="2:35" ht="18">
      <c r="B48" s="149">
        <f t="shared" si="4"/>
        <v>7</v>
      </c>
      <c r="C48" s="90" t="s">
        <v>115</v>
      </c>
      <c r="D48" s="714">
        <f>SUM(D42:D47)</f>
        <v>0</v>
      </c>
      <c r="E48" s="714">
        <f t="shared" ref="E48:O48" si="5">SUM(E42:E47)</f>
        <v>2.36428073574</v>
      </c>
      <c r="F48" s="714">
        <f t="shared" si="5"/>
        <v>0</v>
      </c>
      <c r="G48" s="714">
        <f t="shared" si="5"/>
        <v>2.36428073574</v>
      </c>
      <c r="H48" s="714">
        <f t="shared" si="5"/>
        <v>2.36428073574</v>
      </c>
      <c r="I48" s="714">
        <f t="shared" si="5"/>
        <v>2.6091721361999998</v>
      </c>
      <c r="J48" s="714">
        <f t="shared" si="5"/>
        <v>0</v>
      </c>
      <c r="K48" s="714">
        <f t="shared" si="5"/>
        <v>4.9734528719399993</v>
      </c>
      <c r="L48" s="714">
        <f t="shared" si="5"/>
        <v>4.9734528719399993</v>
      </c>
      <c r="M48" s="714">
        <f t="shared" si="5"/>
        <v>2.6347172355600001</v>
      </c>
      <c r="N48" s="714">
        <f t="shared" si="5"/>
        <v>0</v>
      </c>
      <c r="O48" s="714">
        <f t="shared" si="5"/>
        <v>7.6081701075000003</v>
      </c>
      <c r="P48" s="43"/>
      <c r="Q48" s="43"/>
      <c r="R48" s="43"/>
      <c r="S48" s="52"/>
      <c r="T48" s="43"/>
      <c r="U48" s="43"/>
      <c r="V48" s="43"/>
      <c r="W48" s="43"/>
      <c r="X48" s="43"/>
      <c r="Y48" s="43"/>
      <c r="Z48" s="43"/>
      <c r="AA48" s="43"/>
      <c r="AB48" s="43"/>
      <c r="AC48" s="43"/>
      <c r="AD48" s="43"/>
      <c r="AE48" s="43"/>
      <c r="AF48" s="43"/>
      <c r="AG48" s="43"/>
      <c r="AH48" s="43"/>
      <c r="AI48" s="43"/>
    </row>
    <row r="49" spans="2:35" ht="18">
      <c r="B49" s="46"/>
      <c r="C49" s="154"/>
      <c r="E49" s="10"/>
      <c r="G49" s="10"/>
      <c r="H49" s="10"/>
      <c r="P49" s="43"/>
      <c r="Q49" s="43"/>
      <c r="R49" s="43"/>
      <c r="S49" s="43"/>
      <c r="T49" s="43"/>
      <c r="U49" s="43"/>
      <c r="V49" s="43"/>
      <c r="W49" s="43"/>
      <c r="X49" s="43"/>
      <c r="Y49" s="43"/>
      <c r="Z49" s="43"/>
      <c r="AA49" s="43"/>
      <c r="AB49" s="43"/>
      <c r="AC49" s="43"/>
      <c r="AD49" s="43"/>
      <c r="AE49" s="43"/>
      <c r="AF49" s="43"/>
      <c r="AG49" s="43"/>
      <c r="AH49" s="43"/>
      <c r="AI49" s="43"/>
    </row>
    <row r="50" spans="2:35" ht="15" customHeight="1">
      <c r="B50" s="46"/>
      <c r="C50" s="154"/>
      <c r="E50" s="10"/>
      <c r="G50" s="10"/>
      <c r="H50" s="10"/>
      <c r="K50" s="52" t="s">
        <v>16</v>
      </c>
      <c r="O50" s="378"/>
    </row>
    <row r="51" spans="2:35">
      <c r="B51" s="1376" t="s">
        <v>157</v>
      </c>
      <c r="C51" s="1376" t="s">
        <v>49</v>
      </c>
      <c r="D51" s="1376" t="s">
        <v>148</v>
      </c>
      <c r="E51" s="1376"/>
      <c r="F51" s="1376"/>
      <c r="G51" s="1376"/>
      <c r="H51" s="1376" t="s">
        <v>149</v>
      </c>
      <c r="I51" s="1376"/>
      <c r="J51" s="1376"/>
      <c r="K51" s="1376"/>
      <c r="L51" s="1467"/>
      <c r="M51" s="1467"/>
      <c r="N51" s="1467"/>
      <c r="O51" s="1467"/>
    </row>
    <row r="52" spans="2:35">
      <c r="B52" s="1376"/>
      <c r="C52" s="1376"/>
      <c r="D52" s="1465" t="s">
        <v>689</v>
      </c>
      <c r="E52" s="1466"/>
      <c r="F52" s="1466"/>
      <c r="G52" s="1466"/>
      <c r="H52" s="1465" t="s">
        <v>689</v>
      </c>
      <c r="I52" s="1466"/>
      <c r="J52" s="1466"/>
      <c r="K52" s="1466"/>
      <c r="L52" s="1468"/>
      <c r="M52" s="1469"/>
      <c r="N52" s="1469"/>
      <c r="O52" s="1469"/>
    </row>
    <row r="53" spans="2:35" ht="57">
      <c r="B53" s="1376"/>
      <c r="C53" s="1376"/>
      <c r="D53" s="666" t="s">
        <v>993</v>
      </c>
      <c r="E53" s="666" t="s">
        <v>112</v>
      </c>
      <c r="F53" s="666" t="s">
        <v>113</v>
      </c>
      <c r="G53" s="666" t="s">
        <v>994</v>
      </c>
      <c r="H53" s="666" t="s">
        <v>993</v>
      </c>
      <c r="I53" s="666" t="s">
        <v>112</v>
      </c>
      <c r="J53" s="666" t="s">
        <v>113</v>
      </c>
      <c r="K53" s="666" t="s">
        <v>994</v>
      </c>
      <c r="L53" s="379"/>
      <c r="M53" s="379"/>
      <c r="N53" s="379"/>
      <c r="O53" s="379"/>
    </row>
    <row r="54" spans="2:35">
      <c r="B54" s="73">
        <v>1</v>
      </c>
      <c r="C54" s="684" t="s">
        <v>978</v>
      </c>
      <c r="D54" s="686">
        <f>+'F5.1'!D54+'F5.2'!D54</f>
        <v>8.0159999999999988E-3</v>
      </c>
      <c r="E54" s="686">
        <f>+'F5.1'!E54+'F5.2'!E54</f>
        <v>2.6719999999999999E-3</v>
      </c>
      <c r="F54" s="686">
        <f>+'F5.1'!F54+'F5.2'!F54</f>
        <v>0</v>
      </c>
      <c r="G54" s="686">
        <f>+'F5.1'!G54+'F5.2'!G54</f>
        <v>1.0688E-2</v>
      </c>
      <c r="H54" s="686">
        <f>+'F5.1'!H54+'F5.2'!H54</f>
        <v>1.0688E-2</v>
      </c>
      <c r="I54" s="686">
        <f>+'F5.1'!I54+'F5.2'!I54</f>
        <v>2.6719999999999999E-3</v>
      </c>
      <c r="J54" s="686">
        <f>+'F5.1'!J54+'F5.2'!J54</f>
        <v>0</v>
      </c>
      <c r="K54" s="686">
        <f>+'F5.1'!K54+'F5.2'!K54</f>
        <v>1.336E-2</v>
      </c>
      <c r="L54" s="380"/>
      <c r="M54" s="380"/>
      <c r="N54" s="380"/>
      <c r="O54" s="380"/>
    </row>
    <row r="55" spans="2:35">
      <c r="B55" s="78">
        <f>+B54+1</f>
        <v>2</v>
      </c>
      <c r="C55" s="684" t="s">
        <v>979</v>
      </c>
      <c r="D55" s="686">
        <f>'F5.1'!D55+'F5.2'!D55</f>
        <v>1.0470899999999999</v>
      </c>
      <c r="E55" s="686">
        <f>'F5.1'!E55+'F5.2'!E55</f>
        <v>0.34902999999999995</v>
      </c>
      <c r="F55" s="686">
        <f>'F5.1'!F55+'F5.2'!F55</f>
        <v>0</v>
      </c>
      <c r="G55" s="686">
        <f>'F5.1'!G55+'F5.2'!G55</f>
        <v>1.3961199999999998</v>
      </c>
      <c r="H55" s="686">
        <f>'F5.1'!H55+'F5.2'!H55</f>
        <v>1.3961199999999998</v>
      </c>
      <c r="I55" s="686">
        <f>'F5.1'!I55+'F5.2'!I55</f>
        <v>0.34902999999999995</v>
      </c>
      <c r="J55" s="686">
        <f>'F5.1'!J55+'F5.2'!J55</f>
        <v>0</v>
      </c>
      <c r="K55" s="686">
        <f>'F5.1'!K55+'F5.2'!K55</f>
        <v>1.7451499999999998</v>
      </c>
      <c r="L55" s="16"/>
      <c r="M55" s="16"/>
      <c r="N55" s="16"/>
      <c r="O55" s="16"/>
    </row>
    <row r="56" spans="2:35">
      <c r="B56" s="78">
        <f t="shared" ref="B56:B60" si="6">+B55+1</f>
        <v>3</v>
      </c>
      <c r="C56" s="684" t="s">
        <v>106</v>
      </c>
      <c r="D56" s="686">
        <f>'F5.1'!D56+'F5.2'!D56</f>
        <v>6.4910459380800001</v>
      </c>
      <c r="E56" s="686">
        <f>'F5.1'!E56+'F5.2'!E56</f>
        <v>2.2884384547200001</v>
      </c>
      <c r="F56" s="686">
        <f>'F5.1'!F56+'F5.2'!F56</f>
        <v>0</v>
      </c>
      <c r="G56" s="686">
        <f>'F5.1'!G56+'F5.2'!G56</f>
        <v>8.7794843928000006</v>
      </c>
      <c r="H56" s="686">
        <f>'F5.1'!H56+'F5.2'!H56</f>
        <v>8.7794843928000006</v>
      </c>
      <c r="I56" s="686">
        <f>'F5.1'!I56+'F5.2'!I56</f>
        <v>2.3359584547200001</v>
      </c>
      <c r="J56" s="686">
        <f>'F5.1'!J56+'F5.2'!J56</f>
        <v>0</v>
      </c>
      <c r="K56" s="686">
        <f>'F5.1'!K56+'F5.2'!K56</f>
        <v>11.115442847520001</v>
      </c>
      <c r="L56" s="16"/>
      <c r="M56" s="16"/>
      <c r="N56" s="16"/>
      <c r="O56" s="16"/>
    </row>
    <row r="57" spans="2:35">
      <c r="B57" s="78">
        <f t="shared" si="6"/>
        <v>4</v>
      </c>
      <c r="C57" s="684" t="s">
        <v>952</v>
      </c>
      <c r="D57" s="686">
        <f>'F5.1'!D57+'F5.2'!D57</f>
        <v>3.3731249999999998E-3</v>
      </c>
      <c r="E57" s="686">
        <f>'F5.1'!E57+'F5.2'!E57</f>
        <v>1.34925E-3</v>
      </c>
      <c r="F57" s="686">
        <f>'F5.1'!F57+'F5.2'!F57</f>
        <v>0</v>
      </c>
      <c r="G57" s="686">
        <f>'F5.1'!G57+'F5.2'!G57</f>
        <v>4.722375E-3</v>
      </c>
      <c r="H57" s="686">
        <f>'F5.1'!H57+'F5.2'!H57</f>
        <v>4.722375E-3</v>
      </c>
      <c r="I57" s="686">
        <f>'F5.1'!I57+'F5.2'!I57</f>
        <v>1.34925E-3</v>
      </c>
      <c r="J57" s="686">
        <f>'F5.1'!J57+'F5.2'!J57</f>
        <v>0</v>
      </c>
      <c r="K57" s="686">
        <f>'F5.1'!K57+'F5.2'!K57</f>
        <v>6.0716249999999998E-3</v>
      </c>
      <c r="L57" s="16"/>
      <c r="M57" s="16"/>
      <c r="N57" s="16"/>
      <c r="O57" s="16"/>
    </row>
    <row r="58" spans="2:35">
      <c r="B58" s="78">
        <f t="shared" si="6"/>
        <v>5</v>
      </c>
      <c r="C58" s="684" t="s">
        <v>985</v>
      </c>
      <c r="D58" s="686">
        <f>'F5.1'!D58+'F5.2'!D58</f>
        <v>1.4160209999999998E-4</v>
      </c>
      <c r="E58" s="686">
        <f>'F5.1'!E58+'F5.2'!E58</f>
        <v>5.6640839999999998E-5</v>
      </c>
      <c r="F58" s="686">
        <f>'F5.1'!F58+'F5.2'!F58</f>
        <v>0</v>
      </c>
      <c r="G58" s="686">
        <f>'F5.1'!G58+'F5.2'!G58</f>
        <v>1.9824293999999999E-4</v>
      </c>
      <c r="H58" s="686">
        <f>'F5.1'!H58+'F5.2'!H58</f>
        <v>1.9824293999999999E-4</v>
      </c>
      <c r="I58" s="686">
        <f>'F5.1'!I58+'F5.2'!I58</f>
        <v>5.6640839999999998E-5</v>
      </c>
      <c r="J58" s="686">
        <f>'F5.1'!J58+'F5.2'!J58</f>
        <v>0</v>
      </c>
      <c r="K58" s="686">
        <f>'F5.1'!K58+'F5.2'!K58</f>
        <v>2.5488377999999994E-4</v>
      </c>
      <c r="L58" s="16"/>
      <c r="M58" s="16"/>
      <c r="N58" s="16"/>
      <c r="O58" s="16"/>
    </row>
    <row r="59" spans="2:35">
      <c r="B59" s="78">
        <f t="shared" si="6"/>
        <v>6</v>
      </c>
      <c r="C59" s="684" t="s">
        <v>986</v>
      </c>
      <c r="D59" s="686">
        <f>'F5.1'!D59+'F5.2'!D59</f>
        <v>5.8503442320000001E-2</v>
      </c>
      <c r="E59" s="686">
        <f>'F5.1'!E59+'F5.2'!E59</f>
        <v>2.8018889999999998E-2</v>
      </c>
      <c r="F59" s="686">
        <f>'F5.1'!F59+'F5.2'!F59</f>
        <v>0</v>
      </c>
      <c r="G59" s="686">
        <f>'F5.1'!G59+'F5.2'!G59</f>
        <v>8.6522332319999992E-2</v>
      </c>
      <c r="H59" s="686">
        <f>'F5.1'!H59+'F5.2'!H59</f>
        <v>8.6522332319999992E-2</v>
      </c>
      <c r="I59" s="686">
        <f>'F5.1'!I59+'F5.2'!I59</f>
        <v>2.8018889999999998E-2</v>
      </c>
      <c r="J59" s="686">
        <f>'F5.1'!J59+'F5.2'!J59</f>
        <v>0</v>
      </c>
      <c r="K59" s="686">
        <f>'F5.1'!K59+'F5.2'!K59</f>
        <v>0.11454122231999998</v>
      </c>
      <c r="L59" s="16"/>
      <c r="M59" s="16"/>
      <c r="N59" s="16"/>
      <c r="O59" s="16"/>
    </row>
    <row r="60" spans="2:35" ht="18">
      <c r="B60" s="149">
        <f t="shared" si="6"/>
        <v>7</v>
      </c>
      <c r="C60" s="90" t="s">
        <v>115</v>
      </c>
      <c r="D60" s="714">
        <f>SUM(D54:D59)</f>
        <v>7.6081701075000003</v>
      </c>
      <c r="E60" s="714">
        <f t="shared" ref="E60:K60" si="7">SUM(E54:E59)</f>
        <v>2.6695652355599999</v>
      </c>
      <c r="F60" s="714">
        <f t="shared" si="7"/>
        <v>0</v>
      </c>
      <c r="G60" s="714">
        <f t="shared" si="7"/>
        <v>10.27773534306</v>
      </c>
      <c r="H60" s="714">
        <f t="shared" si="7"/>
        <v>10.27773534306</v>
      </c>
      <c r="I60" s="714">
        <f t="shared" si="7"/>
        <v>2.7170852355599999</v>
      </c>
      <c r="J60" s="714">
        <f t="shared" si="7"/>
        <v>0</v>
      </c>
      <c r="K60" s="714">
        <f t="shared" si="7"/>
        <v>12.994820578620001</v>
      </c>
      <c r="L60" s="381"/>
      <c r="M60" s="381"/>
      <c r="N60" s="381"/>
      <c r="O60" s="381"/>
    </row>
    <row r="61" spans="2:35" ht="18">
      <c r="B61" s="43"/>
      <c r="C61" s="58"/>
      <c r="D61" s="43"/>
      <c r="E61" s="43"/>
      <c r="F61" s="43"/>
      <c r="G61" s="43"/>
      <c r="H61" s="43"/>
      <c r="I61" s="43"/>
      <c r="J61" s="43"/>
      <c r="K61" s="43"/>
      <c r="L61" s="381"/>
      <c r="M61" s="381"/>
      <c r="N61" s="381"/>
      <c r="O61" s="381"/>
    </row>
    <row r="62" spans="2:35" ht="18">
      <c r="B62" s="43"/>
      <c r="C62" s="58"/>
      <c r="D62" s="43"/>
      <c r="E62" s="43"/>
      <c r="F62" s="43"/>
      <c r="G62" s="43"/>
      <c r="H62" s="43"/>
      <c r="I62" s="43"/>
      <c r="J62" s="43"/>
      <c r="K62" s="43"/>
      <c r="L62" s="381"/>
      <c r="M62" s="381"/>
      <c r="N62" s="381"/>
      <c r="O62" s="381"/>
    </row>
    <row r="63" spans="2:35" ht="18">
      <c r="B63" s="43"/>
      <c r="C63" s="58"/>
      <c r="D63" s="43"/>
      <c r="E63" s="43"/>
      <c r="F63" s="43"/>
      <c r="G63" s="43"/>
      <c r="H63" s="43"/>
      <c r="I63" s="43"/>
      <c r="J63" s="43"/>
      <c r="K63" s="43"/>
      <c r="L63" s="381"/>
      <c r="M63" s="381"/>
      <c r="N63" s="381"/>
      <c r="O63" s="381"/>
    </row>
    <row r="64" spans="2:35">
      <c r="B64" s="46" t="s">
        <v>158</v>
      </c>
    </row>
    <row r="65" spans="2:35">
      <c r="B65" s="46"/>
    </row>
    <row r="66" spans="2:35" ht="15" customHeight="1">
      <c r="B66" s="1376" t="s">
        <v>157</v>
      </c>
      <c r="C66" s="1376" t="s">
        <v>49</v>
      </c>
      <c r="D66" s="1465" t="s">
        <v>38</v>
      </c>
      <c r="E66" s="1465"/>
      <c r="F66" s="1465"/>
      <c r="G66" s="1465"/>
      <c r="H66" s="1376" t="s">
        <v>146</v>
      </c>
      <c r="I66" s="1376"/>
      <c r="J66" s="1376"/>
      <c r="K66" s="1376"/>
      <c r="L66" s="1376" t="s">
        <v>147</v>
      </c>
      <c r="M66" s="1376"/>
      <c r="N66" s="1376"/>
      <c r="O66" s="1376"/>
    </row>
    <row r="67" spans="2:35">
      <c r="B67" s="1376"/>
      <c r="C67" s="1376"/>
      <c r="D67" s="1465" t="s">
        <v>12</v>
      </c>
      <c r="E67" s="1466"/>
      <c r="F67" s="1466"/>
      <c r="G67" s="1466"/>
      <c r="H67" s="1465" t="s">
        <v>12</v>
      </c>
      <c r="I67" s="1466"/>
      <c r="J67" s="1466"/>
      <c r="K67" s="1466"/>
      <c r="L67" s="1465" t="s">
        <v>688</v>
      </c>
      <c r="M67" s="1466"/>
      <c r="N67" s="1466"/>
      <c r="O67" s="1466"/>
    </row>
    <row r="68" spans="2:35" ht="42.75">
      <c r="B68" s="1376"/>
      <c r="C68" s="1376"/>
      <c r="D68" s="365" t="s">
        <v>111</v>
      </c>
      <c r="E68" s="365" t="s">
        <v>112</v>
      </c>
      <c r="F68" s="365" t="s">
        <v>113</v>
      </c>
      <c r="G68" s="365" t="s">
        <v>114</v>
      </c>
      <c r="H68" s="365" t="s">
        <v>111</v>
      </c>
      <c r="I68" s="365" t="s">
        <v>112</v>
      </c>
      <c r="J68" s="365" t="s">
        <v>113</v>
      </c>
      <c r="K68" s="365" t="s">
        <v>114</v>
      </c>
      <c r="L68" s="365" t="s">
        <v>111</v>
      </c>
      <c r="M68" s="365" t="s">
        <v>112</v>
      </c>
      <c r="N68" s="365" t="s">
        <v>113</v>
      </c>
      <c r="O68" s="365" t="s">
        <v>114</v>
      </c>
    </row>
    <row r="69" spans="2:35">
      <c r="B69" s="73">
        <v>1</v>
      </c>
      <c r="C69" s="684" t="s">
        <v>978</v>
      </c>
      <c r="D69" s="686">
        <f>'F5.1'!D69+'F5.2'!D69</f>
        <v>0.08</v>
      </c>
      <c r="E69" s="686">
        <f>'F5.1'!E69+'F5.2'!E69</f>
        <v>-2.6719999999999999E-3</v>
      </c>
      <c r="F69" s="686">
        <f>'F5.1'!F69+'F5.2'!F69</f>
        <v>0</v>
      </c>
      <c r="G69" s="686">
        <f>'F5.1'!G69+'F5.2'!G69</f>
        <v>7.7328000000000008E-2</v>
      </c>
      <c r="H69" s="686">
        <f>'F5.1'!H69+'F5.2'!H69</f>
        <v>7.7328000000000008E-2</v>
      </c>
      <c r="I69" s="686">
        <f>'F5.1'!I69+'F5.2'!I69</f>
        <v>-2.6719999999999999E-3</v>
      </c>
      <c r="J69" s="686">
        <f>'F5.1'!J69+'F5.2'!J69</f>
        <v>0</v>
      </c>
      <c r="K69" s="686">
        <f>'F5.1'!K69+'F5.2'!K69</f>
        <v>7.4656E-2</v>
      </c>
      <c r="L69" s="686">
        <f>'F5.1'!L69+'F5.2'!L69</f>
        <v>7.4656E-2</v>
      </c>
      <c r="M69" s="686">
        <f>'F5.1'!M69+'F5.2'!M69</f>
        <v>-2.6719999999999999E-3</v>
      </c>
      <c r="N69" s="686">
        <f>'F5.1'!N69+'F5.2'!N69</f>
        <v>0</v>
      </c>
      <c r="O69" s="686">
        <f>'F5.1'!O69+'F5.2'!O69</f>
        <v>7.1984000000000006E-2</v>
      </c>
    </row>
    <row r="70" spans="2:35">
      <c r="B70" s="78">
        <f>+B69+1</f>
        <v>2</v>
      </c>
      <c r="C70" s="684" t="s">
        <v>979</v>
      </c>
      <c r="D70" s="686">
        <f>'F5.1'!D70+'F5.2'!D70</f>
        <v>10.45</v>
      </c>
      <c r="E70" s="686">
        <f>'F5.1'!E70+'F5.2'!E70</f>
        <v>-0.34902999999999995</v>
      </c>
      <c r="F70" s="686">
        <f>'F5.1'!F70+'F5.2'!F70</f>
        <v>0</v>
      </c>
      <c r="G70" s="686">
        <f>'F5.1'!G70+'F5.2'!G70</f>
        <v>10.10097</v>
      </c>
      <c r="H70" s="686">
        <f>'F5.1'!H70+'F5.2'!H70</f>
        <v>10.10097</v>
      </c>
      <c r="I70" s="686">
        <f>'F5.1'!I70+'F5.2'!I70</f>
        <v>-0.34902999999999995</v>
      </c>
      <c r="J70" s="686">
        <f>'F5.1'!J70+'F5.2'!J70</f>
        <v>0</v>
      </c>
      <c r="K70" s="686">
        <f>'F5.1'!K70+'F5.2'!K70</f>
        <v>9.7519399999999994</v>
      </c>
      <c r="L70" s="686">
        <f>'F5.1'!L70+'F5.2'!L70</f>
        <v>9.7519399999999994</v>
      </c>
      <c r="M70" s="686">
        <f>'F5.1'!M70+'F5.2'!M70</f>
        <v>-0.34902999999999995</v>
      </c>
      <c r="N70" s="686">
        <f>'F5.1'!N70+'F5.2'!N70</f>
        <v>0</v>
      </c>
      <c r="O70" s="686">
        <f>'F5.1'!O70+'F5.2'!O70</f>
        <v>9.4029099999999985</v>
      </c>
    </row>
    <row r="71" spans="2:35">
      <c r="B71" s="78">
        <f t="shared" ref="B71:B75" si="8">+B70+1</f>
        <v>3</v>
      </c>
      <c r="C71" s="684" t="s">
        <v>106</v>
      </c>
      <c r="D71" s="686">
        <f>'F5.1'!D71+'F5.2'!D71</f>
        <v>34.190000000000005</v>
      </c>
      <c r="E71" s="686">
        <f>'F5.1'!E71+'F5.2'!E71</f>
        <v>5.7246098720000003</v>
      </c>
      <c r="F71" s="686">
        <f>'F5.1'!F71+'F5.2'!F71</f>
        <v>0</v>
      </c>
      <c r="G71" s="686">
        <f>'F5.1'!G71+'F5.2'!G71</f>
        <v>39.914609872000007</v>
      </c>
      <c r="H71" s="686">
        <f>'F5.1'!H71+'F5.2'!H71</f>
        <v>39.914609872000007</v>
      </c>
      <c r="I71" s="686">
        <f>'F5.1'!I71+'F5.2'!I71</f>
        <v>-1.6804279553600001</v>
      </c>
      <c r="J71" s="686">
        <f>'F5.1'!J71+'F5.2'!J71</f>
        <v>0</v>
      </c>
      <c r="K71" s="686">
        <f>'F5.1'!K71+'F5.2'!K71</f>
        <v>38.234181916639997</v>
      </c>
      <c r="L71" s="686">
        <f>'F5.1'!L71+'F5.2'!L71</f>
        <v>38.234181916639997</v>
      </c>
      <c r="M71" s="686">
        <f>'F5.1'!M71+'F5.2'!M71</f>
        <v>-1.8335904547200004</v>
      </c>
      <c r="N71" s="686">
        <f>'F5.1'!N71+'F5.2'!N71</f>
        <v>0</v>
      </c>
      <c r="O71" s="686">
        <f>'F5.1'!O71+'F5.2'!O71</f>
        <v>36.400591461920008</v>
      </c>
    </row>
    <row r="72" spans="2:35">
      <c r="B72" s="78">
        <f t="shared" si="8"/>
        <v>4</v>
      </c>
      <c r="C72" s="684" t="s">
        <v>952</v>
      </c>
      <c r="D72" s="686">
        <f>'F5.1'!D72+'F5.2'!D72</f>
        <v>0</v>
      </c>
      <c r="E72" s="686">
        <f>'F5.1'!E72+'F5.2'!E72</f>
        <v>8.3203750000000014E-3</v>
      </c>
      <c r="F72" s="686">
        <f>'F5.1'!F72+'F5.2'!F72</f>
        <v>0</v>
      </c>
      <c r="G72" s="686">
        <f>'F5.1'!G72+'F5.2'!G72</f>
        <v>8.3203750000000014E-3</v>
      </c>
      <c r="H72" s="686">
        <f>'F5.1'!H72+'F5.2'!H72</f>
        <v>8.3203750000000014E-3</v>
      </c>
      <c r="I72" s="686">
        <f>'F5.1'!I72+'F5.2'!I72</f>
        <v>-1.34925E-3</v>
      </c>
      <c r="J72" s="686">
        <f>'F5.1'!J72+'F5.2'!J72</f>
        <v>0</v>
      </c>
      <c r="K72" s="686">
        <f>'F5.1'!K72+'F5.2'!K72</f>
        <v>6.9711250000000008E-3</v>
      </c>
      <c r="L72" s="686">
        <f>'F5.1'!L72+'F5.2'!L72</f>
        <v>6.9711250000000008E-3</v>
      </c>
      <c r="M72" s="686">
        <f>'F5.1'!M72+'F5.2'!M72</f>
        <v>-1.34925E-3</v>
      </c>
      <c r="N72" s="686">
        <f>'F5.1'!N72+'F5.2'!N72</f>
        <v>0</v>
      </c>
      <c r="O72" s="686">
        <f>'F5.1'!O72+'F5.2'!O72</f>
        <v>5.621875000000001E-3</v>
      </c>
    </row>
    <row r="73" spans="2:35">
      <c r="B73" s="78">
        <f t="shared" si="8"/>
        <v>5</v>
      </c>
      <c r="C73" s="684" t="s">
        <v>985</v>
      </c>
      <c r="D73" s="686">
        <f>'F5.1'!D73+'F5.2'!D73</f>
        <v>0</v>
      </c>
      <c r="E73" s="686">
        <f>'F5.1'!E73+'F5.2'!E73</f>
        <v>8.6647958000000004E-4</v>
      </c>
      <c r="F73" s="686">
        <f>'F5.1'!F73+'F5.2'!F73</f>
        <v>0</v>
      </c>
      <c r="G73" s="686">
        <f>'F5.1'!G73+'F5.2'!G73</f>
        <v>8.6647958000000004E-4</v>
      </c>
      <c r="H73" s="686">
        <f>'F5.1'!H73+'F5.2'!H73</f>
        <v>8.6647958000000004E-4</v>
      </c>
      <c r="I73" s="686">
        <f>'F5.1'!I73+'F5.2'!I73</f>
        <v>-5.6640839999999998E-5</v>
      </c>
      <c r="J73" s="686">
        <f>'F5.1'!J73+'F5.2'!J73</f>
        <v>0</v>
      </c>
      <c r="K73" s="686">
        <f>'F5.1'!K73+'F5.2'!K73</f>
        <v>8.0983874000000009E-4</v>
      </c>
      <c r="L73" s="686">
        <f>'F5.1'!L73+'F5.2'!L73</f>
        <v>8.0983874000000009E-4</v>
      </c>
      <c r="M73" s="686">
        <f>'F5.1'!M73+'F5.2'!M73</f>
        <v>-5.6640839999999998E-5</v>
      </c>
      <c r="N73" s="686">
        <f>'F5.1'!N73+'F5.2'!N73</f>
        <v>0</v>
      </c>
      <c r="O73" s="686">
        <f>'F5.1'!O73+'F5.2'!O73</f>
        <v>7.5319790000000003E-4</v>
      </c>
    </row>
    <row r="74" spans="2:35">
      <c r="B74" s="78">
        <f t="shared" si="8"/>
        <v>6</v>
      </c>
      <c r="C74" s="684" t="s">
        <v>986</v>
      </c>
      <c r="D74" s="686">
        <f>'F5.1'!D74+'F5.2'!D74</f>
        <v>0</v>
      </c>
      <c r="E74" s="686">
        <f>'F5.1'!E74+'F5.2'!E74</f>
        <v>9.0930637680000009E-2</v>
      </c>
      <c r="F74" s="686">
        <f>'F5.1'!F74+'F5.2'!F74</f>
        <v>0</v>
      </c>
      <c r="G74" s="686">
        <f>'F5.1'!G74+'F5.2'!G74</f>
        <v>9.0930637680000009E-2</v>
      </c>
      <c r="H74" s="686">
        <f>'F5.1'!H74+'F5.2'!H74</f>
        <v>9.0930637680000009E-2</v>
      </c>
      <c r="I74" s="686">
        <f>'F5.1'!I74+'F5.2'!I74</f>
        <v>-2.8018889999999998E-2</v>
      </c>
      <c r="J74" s="686">
        <f>'F5.1'!J74+'F5.2'!J74</f>
        <v>0</v>
      </c>
      <c r="K74" s="686">
        <f>'F5.1'!K74+'F5.2'!K74</f>
        <v>6.2911747680000005E-2</v>
      </c>
      <c r="L74" s="686">
        <f>'F5.1'!L74+'F5.2'!L74</f>
        <v>6.2911747680000005E-2</v>
      </c>
      <c r="M74" s="686">
        <f>'F5.1'!M74+'F5.2'!M74</f>
        <v>-2.8018889999999998E-2</v>
      </c>
      <c r="N74" s="686">
        <f>'F5.1'!N74+'F5.2'!N74</f>
        <v>0</v>
      </c>
      <c r="O74" s="686">
        <f>'F5.1'!O74+'F5.2'!O74</f>
        <v>3.4892857680000007E-2</v>
      </c>
    </row>
    <row r="75" spans="2:35" ht="18">
      <c r="B75" s="149">
        <f t="shared" si="8"/>
        <v>7</v>
      </c>
      <c r="C75" s="90" t="s">
        <v>115</v>
      </c>
      <c r="D75" s="714">
        <f>SUM(D69:D74)</f>
        <v>44.720000000000006</v>
      </c>
      <c r="E75" s="714">
        <f t="shared" ref="E75:O75" si="9">SUM(E69:E74)</f>
        <v>5.4730253642600006</v>
      </c>
      <c r="F75" s="714">
        <f t="shared" si="9"/>
        <v>0</v>
      </c>
      <c r="G75" s="714">
        <f t="shared" si="9"/>
        <v>50.193025364260002</v>
      </c>
      <c r="H75" s="714">
        <f t="shared" si="9"/>
        <v>50.193025364260002</v>
      </c>
      <c r="I75" s="714">
        <f t="shared" si="9"/>
        <v>-2.0615547362000002</v>
      </c>
      <c r="J75" s="714">
        <f t="shared" si="9"/>
        <v>0</v>
      </c>
      <c r="K75" s="714">
        <f t="shared" si="9"/>
        <v>48.131470628059986</v>
      </c>
      <c r="L75" s="714">
        <f t="shared" si="9"/>
        <v>48.131470628059986</v>
      </c>
      <c r="M75" s="714">
        <f t="shared" si="9"/>
        <v>-2.2147172355600002</v>
      </c>
      <c r="N75" s="714">
        <f t="shared" si="9"/>
        <v>0</v>
      </c>
      <c r="O75" s="714">
        <f t="shared" si="9"/>
        <v>45.916753392500013</v>
      </c>
      <c r="P75" s="43"/>
      <c r="Q75" s="43"/>
      <c r="R75" s="43"/>
      <c r="S75" s="43"/>
      <c r="T75" s="43"/>
      <c r="U75" s="43"/>
      <c r="V75" s="43"/>
      <c r="W75" s="43"/>
      <c r="X75" s="43"/>
      <c r="Y75" s="43"/>
      <c r="Z75" s="43"/>
      <c r="AA75" s="43"/>
      <c r="AB75" s="43"/>
      <c r="AC75" s="43"/>
      <c r="AD75" s="43"/>
      <c r="AE75" s="43"/>
      <c r="AF75" s="43"/>
      <c r="AG75" s="43"/>
      <c r="AH75" s="43"/>
      <c r="AI75" s="43"/>
    </row>
    <row r="76" spans="2:35" ht="18">
      <c r="B76" s="46"/>
      <c r="C76" s="154"/>
      <c r="E76" s="10"/>
      <c r="G76" s="10"/>
      <c r="H76" s="10"/>
      <c r="P76" s="43"/>
      <c r="Q76" s="43"/>
      <c r="R76" s="43"/>
      <c r="S76" s="43"/>
      <c r="T76" s="43"/>
      <c r="U76" s="43"/>
      <c r="V76" s="43"/>
      <c r="W76" s="43"/>
      <c r="X76" s="43"/>
      <c r="Y76" s="43"/>
      <c r="Z76" s="43"/>
      <c r="AA76" s="43"/>
      <c r="AB76" s="43"/>
      <c r="AC76" s="43"/>
      <c r="AD76" s="43"/>
      <c r="AE76" s="43"/>
      <c r="AF76" s="43"/>
      <c r="AG76" s="43"/>
      <c r="AH76" s="43"/>
      <c r="AI76" s="43"/>
    </row>
    <row r="77" spans="2:35" ht="15" customHeight="1">
      <c r="B77" s="46"/>
      <c r="C77" s="154"/>
      <c r="E77" s="10"/>
      <c r="G77" s="10"/>
      <c r="H77" s="10"/>
      <c r="K77" s="52" t="s">
        <v>16</v>
      </c>
      <c r="O77" s="378"/>
    </row>
    <row r="78" spans="2:35">
      <c r="B78" s="1376" t="s">
        <v>157</v>
      </c>
      <c r="C78" s="1376" t="s">
        <v>49</v>
      </c>
      <c r="D78" s="1376" t="s">
        <v>148</v>
      </c>
      <c r="E78" s="1376"/>
      <c r="F78" s="1376"/>
      <c r="G78" s="1376"/>
      <c r="H78" s="1376" t="s">
        <v>149</v>
      </c>
      <c r="I78" s="1376"/>
      <c r="J78" s="1376"/>
      <c r="K78" s="1376"/>
      <c r="L78" s="1467"/>
      <c r="M78" s="1467"/>
      <c r="N78" s="1467"/>
      <c r="O78" s="1467"/>
    </row>
    <row r="79" spans="2:35">
      <c r="B79" s="1376"/>
      <c r="C79" s="1376"/>
      <c r="D79" s="1465" t="s">
        <v>689</v>
      </c>
      <c r="E79" s="1466"/>
      <c r="F79" s="1466"/>
      <c r="G79" s="1466"/>
      <c r="H79" s="1465" t="s">
        <v>689</v>
      </c>
      <c r="I79" s="1466"/>
      <c r="J79" s="1466"/>
      <c r="K79" s="1466"/>
      <c r="L79" s="1468"/>
      <c r="M79" s="1469"/>
      <c r="N79" s="1469"/>
      <c r="O79" s="1469"/>
    </row>
    <row r="80" spans="2:35" ht="42.75">
      <c r="B80" s="1376"/>
      <c r="C80" s="1376"/>
      <c r="D80" s="365" t="s">
        <v>111</v>
      </c>
      <c r="E80" s="365" t="s">
        <v>112</v>
      </c>
      <c r="F80" s="365" t="s">
        <v>113</v>
      </c>
      <c r="G80" s="365" t="s">
        <v>114</v>
      </c>
      <c r="H80" s="365" t="s">
        <v>111</v>
      </c>
      <c r="I80" s="365" t="s">
        <v>112</v>
      </c>
      <c r="J80" s="365" t="s">
        <v>113</v>
      </c>
      <c r="K80" s="365" t="s">
        <v>114</v>
      </c>
      <c r="L80" s="379"/>
      <c r="M80" s="379"/>
      <c r="N80" s="379"/>
      <c r="O80" s="379"/>
    </row>
    <row r="81" spans="2:15">
      <c r="B81" s="73">
        <v>1</v>
      </c>
      <c r="C81" s="684" t="s">
        <v>978</v>
      </c>
      <c r="D81" s="686">
        <f>'F5.1'!D81+'F5.2'!D81</f>
        <v>7.1984000000000006E-2</v>
      </c>
      <c r="E81" s="686">
        <f>'F5.1'!E81+'F5.2'!E81</f>
        <v>-2.6719999999999999E-3</v>
      </c>
      <c r="F81" s="686">
        <f>'F5.1'!F81+'F5.2'!F81</f>
        <v>0</v>
      </c>
      <c r="G81" s="686">
        <f>'F5.1'!G81+'F5.2'!G81</f>
        <v>6.9311999999999999E-2</v>
      </c>
      <c r="H81" s="686">
        <f>'F5.1'!H81+'F5.2'!H81</f>
        <v>6.9311999999999999E-2</v>
      </c>
      <c r="I81" s="686">
        <f>'F5.1'!I81+'F5.2'!I81</f>
        <v>-2.6719999999999999E-3</v>
      </c>
      <c r="J81" s="686">
        <f>'F5.1'!J81+'F5.2'!J81</f>
        <v>0</v>
      </c>
      <c r="K81" s="686">
        <f>'F5.1'!K81+'F5.2'!K81</f>
        <v>6.6640000000000005E-2</v>
      </c>
      <c r="L81" s="380"/>
      <c r="M81" s="380"/>
      <c r="N81" s="380"/>
      <c r="O81" s="380"/>
    </row>
    <row r="82" spans="2:15">
      <c r="B82" s="78">
        <f>+B81+1</f>
        <v>2</v>
      </c>
      <c r="C82" s="684" t="s">
        <v>979</v>
      </c>
      <c r="D82" s="686">
        <f>'F5.1'!D82+'F5.2'!D82</f>
        <v>9.4029099999999985</v>
      </c>
      <c r="E82" s="686">
        <f>'F5.1'!E82+'F5.2'!E82</f>
        <v>-0.34902999999999995</v>
      </c>
      <c r="F82" s="686">
        <f>'F5.1'!F82+'F5.2'!F82</f>
        <v>0</v>
      </c>
      <c r="G82" s="686">
        <f>'F5.1'!G82+'F5.2'!G82</f>
        <v>9.0538799999999995</v>
      </c>
      <c r="H82" s="686">
        <f>'F5.1'!H82+'F5.2'!H82</f>
        <v>9.0538799999999995</v>
      </c>
      <c r="I82" s="686">
        <f>'F5.1'!I82+'F5.2'!I82</f>
        <v>-0.34902999999999995</v>
      </c>
      <c r="J82" s="686">
        <f>'F5.1'!J82+'F5.2'!J82</f>
        <v>0</v>
      </c>
      <c r="K82" s="686">
        <f>'F5.1'!K82+'F5.2'!K82</f>
        <v>8.7048500000000004</v>
      </c>
      <c r="L82" s="16"/>
      <c r="M82" s="16"/>
      <c r="N82" s="16"/>
      <c r="O82" s="16"/>
    </row>
    <row r="83" spans="2:15">
      <c r="B83" s="78">
        <f t="shared" ref="B83:B87" si="10">+B82+1</f>
        <v>3</v>
      </c>
      <c r="C83" s="684" t="s">
        <v>106</v>
      </c>
      <c r="D83" s="686">
        <f>'F5.1'!D83+'F5.2'!D83</f>
        <v>36.400591461920008</v>
      </c>
      <c r="E83" s="686">
        <f>'F5.1'!E83+'F5.2'!E83</f>
        <v>-1.3884384547200002</v>
      </c>
      <c r="F83" s="686">
        <f>'F5.1'!F83+'F5.2'!F83</f>
        <v>0</v>
      </c>
      <c r="G83" s="686">
        <f>'F5.1'!G83+'F5.2'!G83</f>
        <v>35.012153007199998</v>
      </c>
      <c r="H83" s="686">
        <f>'F5.1'!H83+'F5.2'!H83</f>
        <v>35.012153007199998</v>
      </c>
      <c r="I83" s="686">
        <f>'F5.1'!I83+'F5.2'!I83</f>
        <v>-1.4359584547200002</v>
      </c>
      <c r="J83" s="686">
        <f>'F5.1'!J83+'F5.2'!J83</f>
        <v>0</v>
      </c>
      <c r="K83" s="686">
        <f>'F5.1'!K83+'F5.2'!K83</f>
        <v>33.576194552480004</v>
      </c>
      <c r="L83" s="16"/>
      <c r="M83" s="16"/>
      <c r="N83" s="16"/>
      <c r="O83" s="16"/>
    </row>
    <row r="84" spans="2:15">
      <c r="B84" s="78">
        <f t="shared" si="10"/>
        <v>4</v>
      </c>
      <c r="C84" s="684" t="s">
        <v>952</v>
      </c>
      <c r="D84" s="686">
        <f>'F5.1'!D84+'F5.2'!D84</f>
        <v>5.621875000000001E-3</v>
      </c>
      <c r="E84" s="686">
        <f>'F5.1'!E84+'F5.2'!E84</f>
        <v>-1.34925E-3</v>
      </c>
      <c r="F84" s="686">
        <f>'F5.1'!F84+'F5.2'!F84</f>
        <v>0</v>
      </c>
      <c r="G84" s="686">
        <f>'F5.1'!G84+'F5.2'!G84</f>
        <v>4.2726250000000012E-3</v>
      </c>
      <c r="H84" s="686">
        <f>'F5.1'!H84+'F5.2'!H84</f>
        <v>4.2726250000000012E-3</v>
      </c>
      <c r="I84" s="686">
        <f>'F5.1'!I84+'F5.2'!I84</f>
        <v>-1.34925E-3</v>
      </c>
      <c r="J84" s="686">
        <f>'F5.1'!J84+'F5.2'!J84</f>
        <v>0</v>
      </c>
      <c r="K84" s="686">
        <f>'F5.1'!K84+'F5.2'!K84</f>
        <v>2.9233750000000015E-3</v>
      </c>
      <c r="L84" s="16"/>
      <c r="M84" s="16"/>
      <c r="N84" s="16"/>
      <c r="O84" s="16"/>
    </row>
    <row r="85" spans="2:15">
      <c r="B85" s="78">
        <f t="shared" si="10"/>
        <v>5</v>
      </c>
      <c r="C85" s="684" t="s">
        <v>985</v>
      </c>
      <c r="D85" s="686">
        <f>'F5.1'!D85+'F5.2'!D85</f>
        <v>7.5319790000000003E-4</v>
      </c>
      <c r="E85" s="686">
        <f>'F5.1'!E85+'F5.2'!E85</f>
        <v>-5.6640839999999998E-5</v>
      </c>
      <c r="F85" s="686">
        <f>'F5.1'!F85+'F5.2'!F85</f>
        <v>0</v>
      </c>
      <c r="G85" s="686">
        <f>'F5.1'!G85+'F5.2'!G85</f>
        <v>6.9655705999999997E-4</v>
      </c>
      <c r="H85" s="686">
        <f>'F5.1'!H85+'F5.2'!H85</f>
        <v>6.9655705999999997E-4</v>
      </c>
      <c r="I85" s="686">
        <f>'F5.1'!I85+'F5.2'!I85</f>
        <v>-5.6640839999999998E-5</v>
      </c>
      <c r="J85" s="686">
        <f>'F5.1'!J85+'F5.2'!J85</f>
        <v>0</v>
      </c>
      <c r="K85" s="686">
        <f>'F5.1'!K85+'F5.2'!K85</f>
        <v>6.3991622000000002E-4</v>
      </c>
      <c r="L85" s="16"/>
      <c r="M85" s="16"/>
      <c r="N85" s="16"/>
      <c r="O85" s="16"/>
    </row>
    <row r="86" spans="2:15">
      <c r="B86" s="78">
        <f t="shared" si="10"/>
        <v>6</v>
      </c>
      <c r="C86" s="684" t="s">
        <v>986</v>
      </c>
      <c r="D86" s="686">
        <f>'F5.1'!D86+'F5.2'!D86</f>
        <v>3.4892857680000007E-2</v>
      </c>
      <c r="E86" s="686">
        <f>'F5.1'!E86+'F5.2'!E86</f>
        <v>-2.8018889999999998E-2</v>
      </c>
      <c r="F86" s="686">
        <f>'F5.1'!F86+'F5.2'!F86</f>
        <v>0</v>
      </c>
      <c r="G86" s="686">
        <f>'F5.1'!G86+'F5.2'!G86</f>
        <v>6.8739676800000094E-3</v>
      </c>
      <c r="H86" s="686">
        <f>'F5.1'!H86+'F5.2'!H86</f>
        <v>6.8739676800000094E-3</v>
      </c>
      <c r="I86" s="686">
        <f>'F5.1'!I86+'F5.2'!I86</f>
        <v>-2.8018889999999998E-2</v>
      </c>
      <c r="J86" s="686">
        <f>'F5.1'!J86+'F5.2'!J86</f>
        <v>0</v>
      </c>
      <c r="K86" s="686">
        <f>'F5.1'!K86+'F5.2'!K86</f>
        <v>-2.1144922319999985E-2</v>
      </c>
      <c r="L86" s="16"/>
      <c r="M86" s="16"/>
      <c r="N86" s="16"/>
      <c r="O86" s="16"/>
    </row>
    <row r="87" spans="2:15" ht="18">
      <c r="B87" s="149">
        <f t="shared" si="10"/>
        <v>7</v>
      </c>
      <c r="C87" s="90" t="s">
        <v>115</v>
      </c>
      <c r="D87" s="714">
        <f>SUM(D81:D86)</f>
        <v>45.916753392500013</v>
      </c>
      <c r="E87" s="714">
        <f t="shared" ref="E87:K87" si="11">SUM(E81:E86)</f>
        <v>-1.7695652355600002</v>
      </c>
      <c r="F87" s="714">
        <f t="shared" si="11"/>
        <v>0</v>
      </c>
      <c r="G87" s="714">
        <f t="shared" si="11"/>
        <v>44.147188156940004</v>
      </c>
      <c r="H87" s="714">
        <f t="shared" si="11"/>
        <v>44.147188156940004</v>
      </c>
      <c r="I87" s="714">
        <f t="shared" si="11"/>
        <v>-1.8170852355600002</v>
      </c>
      <c r="J87" s="714">
        <f t="shared" si="11"/>
        <v>0</v>
      </c>
      <c r="K87" s="714">
        <f t="shared" si="11"/>
        <v>42.330102921380011</v>
      </c>
      <c r="L87" s="381"/>
      <c r="M87" s="381"/>
      <c r="N87" s="381"/>
      <c r="O87" s="381"/>
    </row>
  </sheetData>
  <mergeCells count="50">
    <mergeCell ref="H52:K52"/>
    <mergeCell ref="L52:O52"/>
    <mergeCell ref="B78:B80"/>
    <mergeCell ref="C78:C80"/>
    <mergeCell ref="D79:G79"/>
    <mergeCell ref="H79:K79"/>
    <mergeCell ref="L79:O79"/>
    <mergeCell ref="D78:G78"/>
    <mergeCell ref="L66:O66"/>
    <mergeCell ref="L67:O67"/>
    <mergeCell ref="H78:K78"/>
    <mergeCell ref="L78:O78"/>
    <mergeCell ref="H67:K67"/>
    <mergeCell ref="H66:K66"/>
    <mergeCell ref="D51:G51"/>
    <mergeCell ref="B66:B68"/>
    <mergeCell ref="C66:C68"/>
    <mergeCell ref="D66:G66"/>
    <mergeCell ref="D67:G67"/>
    <mergeCell ref="B51:B53"/>
    <mergeCell ref="C51:C53"/>
    <mergeCell ref="D52:G52"/>
    <mergeCell ref="B24:B26"/>
    <mergeCell ref="C24:C26"/>
    <mergeCell ref="L40:O40"/>
    <mergeCell ref="B39:B41"/>
    <mergeCell ref="C39:C41"/>
    <mergeCell ref="D24:G24"/>
    <mergeCell ref="D25:G25"/>
    <mergeCell ref="D39:G39"/>
    <mergeCell ref="H39:K39"/>
    <mergeCell ref="D40:G40"/>
    <mergeCell ref="H40:K40"/>
    <mergeCell ref="L39:O39"/>
    <mergeCell ref="L24:L26"/>
    <mergeCell ref="M24:M26"/>
    <mergeCell ref="L51:O51"/>
    <mergeCell ref="L12:O12"/>
    <mergeCell ref="H24:K24"/>
    <mergeCell ref="L13:O13"/>
    <mergeCell ref="H25:K25"/>
    <mergeCell ref="H51:K51"/>
    <mergeCell ref="N24:N26"/>
    <mergeCell ref="O24:O26"/>
    <mergeCell ref="B12:B14"/>
    <mergeCell ref="C12:C14"/>
    <mergeCell ref="D12:G12"/>
    <mergeCell ref="H12:K12"/>
    <mergeCell ref="D13:G13"/>
    <mergeCell ref="H13:K13"/>
  </mergeCells>
  <pageMargins left="0.27559055118110237" right="0.23622047244094491" top="0.23622047244094491" bottom="0.23622047244094491" header="0.23622047244094491" footer="0.23622047244094491"/>
  <pageSetup paperSize="9" scale="51" fitToHeight="4" orientation="landscape" r:id="rId1"/>
  <headerFooter alignWithMargins="0">
    <oddHeader>&amp;F</oddHeader>
  </headerFooter>
  <rowBreaks count="1" manualBreakCount="1">
    <brk id="61"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000"/>
  </sheetPr>
  <dimension ref="A1:AI87"/>
  <sheetViews>
    <sheetView showGridLines="0" view="pageBreakPreview" topLeftCell="D36" zoomScale="70" zoomScaleNormal="68" zoomScaleSheetLayoutView="70" workbookViewId="0">
      <selection activeCell="C11" sqref="C11:C12"/>
    </sheetView>
  </sheetViews>
  <sheetFormatPr defaultColWidth="9.140625" defaultRowHeight="15"/>
  <cols>
    <col min="1" max="1" width="8" style="155" customWidth="1"/>
    <col min="2" max="2" width="6.28515625" style="155" customWidth="1"/>
    <col min="3" max="3" width="36.140625" style="155" customWidth="1"/>
    <col min="4" max="4" width="18.7109375" style="155" customWidth="1"/>
    <col min="5" max="5" width="20.7109375" style="155" customWidth="1"/>
    <col min="6" max="24" width="18.7109375" style="155" customWidth="1"/>
    <col min="25" max="16384" width="9.140625" style="155"/>
  </cols>
  <sheetData>
    <row r="1" spans="1:20">
      <c r="B1" s="46"/>
    </row>
    <row r="2" spans="1:20">
      <c r="B2" s="154"/>
      <c r="D2" s="22"/>
      <c r="E2" s="22"/>
      <c r="G2" s="22"/>
      <c r="H2" s="742" t="s">
        <v>906</v>
      </c>
      <c r="I2" s="22"/>
      <c r="J2" s="22"/>
      <c r="K2" s="22"/>
      <c r="L2" s="22"/>
      <c r="M2" s="22"/>
      <c r="N2" s="22"/>
      <c r="O2" s="22"/>
      <c r="P2" s="22"/>
      <c r="Q2" s="22"/>
      <c r="R2" s="22"/>
      <c r="S2" s="22"/>
      <c r="T2" s="22"/>
    </row>
    <row r="3" spans="1:20">
      <c r="B3" s="154"/>
      <c r="D3" s="54"/>
      <c r="E3" s="54"/>
      <c r="G3" s="54"/>
      <c r="H3" s="373" t="s">
        <v>724</v>
      </c>
      <c r="I3" s="54"/>
      <c r="J3" s="54"/>
      <c r="K3" s="54"/>
      <c r="L3" s="54"/>
      <c r="M3" s="54"/>
      <c r="N3" s="54"/>
      <c r="O3" s="54"/>
      <c r="P3" s="54"/>
      <c r="Q3" s="22"/>
      <c r="R3" s="22"/>
      <c r="S3" s="22"/>
      <c r="T3" s="22"/>
    </row>
    <row r="4" spans="1:20">
      <c r="B4" s="22"/>
      <c r="D4" s="55"/>
      <c r="E4" s="56"/>
      <c r="G4" s="56"/>
      <c r="H4" s="62" t="s">
        <v>543</v>
      </c>
      <c r="I4" s="22"/>
      <c r="J4" s="22"/>
      <c r="K4" s="22"/>
      <c r="L4" s="22"/>
      <c r="M4" s="22"/>
      <c r="N4" s="22"/>
      <c r="O4" s="22"/>
      <c r="P4" s="22"/>
      <c r="Q4" s="22"/>
      <c r="R4" s="22"/>
      <c r="S4" s="22"/>
      <c r="T4" s="22"/>
    </row>
    <row r="5" spans="1:20">
      <c r="C5" s="46"/>
      <c r="E5" s="10"/>
      <c r="G5" s="10"/>
      <c r="H5" s="10"/>
    </row>
    <row r="6" spans="1:20">
      <c r="C6" s="46"/>
      <c r="E6" s="10"/>
      <c r="G6" s="10"/>
      <c r="H6" s="10"/>
    </row>
    <row r="7" spans="1:20">
      <c r="C7" s="46" t="s">
        <v>320</v>
      </c>
      <c r="E7" s="10"/>
      <c r="G7" s="10"/>
      <c r="H7" s="10"/>
    </row>
    <row r="8" spans="1:20">
      <c r="C8" s="46"/>
      <c r="E8" s="10"/>
      <c r="G8" s="10"/>
      <c r="H8" s="10"/>
    </row>
    <row r="9" spans="1:20">
      <c r="C9" s="46"/>
      <c r="E9" s="10"/>
      <c r="G9" s="10"/>
      <c r="H9" s="10"/>
    </row>
    <row r="10" spans="1:20">
      <c r="A10" s="155" t="s">
        <v>109</v>
      </c>
      <c r="B10" s="46" t="s">
        <v>110</v>
      </c>
      <c r="C10" s="46"/>
      <c r="E10" s="10"/>
      <c r="G10" s="10"/>
      <c r="H10" s="10"/>
    </row>
    <row r="11" spans="1:20">
      <c r="B11" s="57"/>
      <c r="C11" s="154"/>
      <c r="E11" s="10"/>
      <c r="G11" s="10"/>
      <c r="H11" s="10"/>
      <c r="O11" s="52" t="s">
        <v>16</v>
      </c>
    </row>
    <row r="12" spans="1:20" ht="15.75" customHeight="1">
      <c r="B12" s="1376" t="s">
        <v>157</v>
      </c>
      <c r="C12" s="1376" t="s">
        <v>49</v>
      </c>
      <c r="D12" s="1465" t="s">
        <v>38</v>
      </c>
      <c r="E12" s="1465"/>
      <c r="F12" s="1465"/>
      <c r="G12" s="1465"/>
      <c r="H12" s="1376" t="s">
        <v>146</v>
      </c>
      <c r="I12" s="1376"/>
      <c r="J12" s="1376"/>
      <c r="K12" s="1376"/>
      <c r="L12" s="1376" t="s">
        <v>147</v>
      </c>
      <c r="M12" s="1376"/>
      <c r="N12" s="1376"/>
      <c r="O12" s="1376"/>
    </row>
    <row r="13" spans="1:20" ht="15.75" customHeight="1">
      <c r="B13" s="1376"/>
      <c r="C13" s="1376"/>
      <c r="D13" s="1465" t="s">
        <v>12</v>
      </c>
      <c r="E13" s="1466"/>
      <c r="F13" s="1466"/>
      <c r="G13" s="1466"/>
      <c r="H13" s="1465" t="s">
        <v>12</v>
      </c>
      <c r="I13" s="1466"/>
      <c r="J13" s="1466"/>
      <c r="K13" s="1466"/>
      <c r="L13" s="1465" t="s">
        <v>688</v>
      </c>
      <c r="M13" s="1466"/>
      <c r="N13" s="1466"/>
      <c r="O13" s="1466"/>
    </row>
    <row r="14" spans="1:20" s="38" customFormat="1" ht="42.75">
      <c r="B14" s="1376"/>
      <c r="C14" s="1376"/>
      <c r="D14" s="365" t="s">
        <v>111</v>
      </c>
      <c r="E14" s="365" t="s">
        <v>112</v>
      </c>
      <c r="F14" s="365" t="s">
        <v>113</v>
      </c>
      <c r="G14" s="365" t="s">
        <v>114</v>
      </c>
      <c r="H14" s="365" t="s">
        <v>111</v>
      </c>
      <c r="I14" s="365" t="s">
        <v>112</v>
      </c>
      <c r="J14" s="365" t="s">
        <v>113</v>
      </c>
      <c r="K14" s="365" t="s">
        <v>114</v>
      </c>
      <c r="L14" s="365" t="s">
        <v>111</v>
      </c>
      <c r="M14" s="365" t="s">
        <v>112</v>
      </c>
      <c r="N14" s="365" t="s">
        <v>113</v>
      </c>
      <c r="O14" s="365" t="s">
        <v>114</v>
      </c>
    </row>
    <row r="15" spans="1:20" s="39" customFormat="1">
      <c r="B15" s="73">
        <v>1</v>
      </c>
      <c r="C15" s="684" t="s">
        <v>978</v>
      </c>
      <c r="D15" s="685">
        <v>0.08</v>
      </c>
      <c r="E15" s="716">
        <v>0</v>
      </c>
      <c r="F15" s="686">
        <v>0</v>
      </c>
      <c r="G15" s="686">
        <f>+D15+E15-F15</f>
        <v>0.08</v>
      </c>
      <c r="H15" s="686">
        <f>+G15</f>
        <v>0.08</v>
      </c>
      <c r="I15" s="715">
        <v>0</v>
      </c>
      <c r="J15" s="686">
        <v>0</v>
      </c>
      <c r="K15" s="686">
        <f>H15+I15</f>
        <v>0.08</v>
      </c>
      <c r="L15" s="686">
        <f>+K15</f>
        <v>0.08</v>
      </c>
      <c r="M15" s="686">
        <v>0</v>
      </c>
      <c r="N15" s="686">
        <v>0</v>
      </c>
      <c r="O15" s="686">
        <f>L15+M15-N15</f>
        <v>0.08</v>
      </c>
    </row>
    <row r="16" spans="1:20" s="10" customFormat="1">
      <c r="B16" s="78">
        <f>+B15+1</f>
        <v>2</v>
      </c>
      <c r="C16" s="684" t="s">
        <v>979</v>
      </c>
      <c r="D16" s="1165">
        <v>10.45</v>
      </c>
      <c r="E16" s="1166">
        <v>0</v>
      </c>
      <c r="F16" s="1167">
        <v>0</v>
      </c>
      <c r="G16" s="1167">
        <f t="shared" ref="G16:G20" si="0">+D16+E16-F16</f>
        <v>10.45</v>
      </c>
      <c r="H16" s="1167">
        <f t="shared" ref="H16:H20" si="1">+G16</f>
        <v>10.45</v>
      </c>
      <c r="I16" s="717">
        <v>0</v>
      </c>
      <c r="J16" s="1167">
        <v>0</v>
      </c>
      <c r="K16" s="1167">
        <f t="shared" ref="K16:K20" si="2">H16+I16</f>
        <v>10.45</v>
      </c>
      <c r="L16" s="1167">
        <f t="shared" ref="L16:L20" si="3">+K16</f>
        <v>10.45</v>
      </c>
      <c r="M16" s="1167">
        <v>0</v>
      </c>
      <c r="N16" s="686">
        <v>0</v>
      </c>
      <c r="O16" s="686">
        <f t="shared" ref="O16:O19" si="4">L16+M16-N16</f>
        <v>10.45</v>
      </c>
    </row>
    <row r="17" spans="2:19" s="10" customFormat="1">
      <c r="B17" s="78">
        <f t="shared" ref="B17:B21" si="5">+B16+1</f>
        <v>3</v>
      </c>
      <c r="C17" s="684" t="s">
        <v>106</v>
      </c>
      <c r="D17" s="1165">
        <v>32.770000000000003</v>
      </c>
      <c r="E17" s="698">
        <f>77340200*ASSUM!$C$91/10^7</f>
        <v>7.4884406575174003</v>
      </c>
      <c r="F17" s="1167">
        <v>0</v>
      </c>
      <c r="G17" s="1167">
        <f t="shared" si="0"/>
        <v>40.258440657517404</v>
      </c>
      <c r="H17" s="1167">
        <f t="shared" si="1"/>
        <v>40.258440657517404</v>
      </c>
      <c r="I17" s="717">
        <f>+I21</f>
        <v>0.53022883350753802</v>
      </c>
      <c r="J17" s="1167">
        <f>2045000*50.4171%*ASSUM!$D$91/10^7*0</f>
        <v>0</v>
      </c>
      <c r="K17" s="1167">
        <f>H17+I17-J17</f>
        <v>40.78866949102494</v>
      </c>
      <c r="L17" s="1167">
        <f t="shared" si="3"/>
        <v>40.78866949102494</v>
      </c>
      <c r="M17" s="1167">
        <f>+M21</f>
        <v>0.42</v>
      </c>
      <c r="N17" s="686">
        <v>0</v>
      </c>
      <c r="O17" s="686">
        <f t="shared" si="4"/>
        <v>41.208669491024942</v>
      </c>
    </row>
    <row r="18" spans="2:19" s="10" customFormat="1">
      <c r="B18" s="78">
        <f t="shared" si="5"/>
        <v>4</v>
      </c>
      <c r="C18" s="684" t="s">
        <v>952</v>
      </c>
      <c r="D18" s="1165">
        <v>0</v>
      </c>
      <c r="E18" s="698">
        <f>89950*ASSUM!$C$91/10^7</f>
        <v>8.7093805956500008E-3</v>
      </c>
      <c r="F18" s="1167">
        <v>0</v>
      </c>
      <c r="G18" s="1167">
        <f t="shared" si="0"/>
        <v>8.7093805956500008E-3</v>
      </c>
      <c r="H18" s="1167">
        <f t="shared" si="1"/>
        <v>8.7093805956500008E-3</v>
      </c>
      <c r="I18" s="717">
        <v>0</v>
      </c>
      <c r="J18" s="1167">
        <v>0</v>
      </c>
      <c r="K18" s="1167">
        <f t="shared" si="2"/>
        <v>8.7093805956500008E-3</v>
      </c>
      <c r="L18" s="1167">
        <f t="shared" si="3"/>
        <v>8.7093805956500008E-3</v>
      </c>
      <c r="M18" s="1167">
        <v>0</v>
      </c>
      <c r="N18" s="686">
        <v>0</v>
      </c>
      <c r="O18" s="686">
        <f t="shared" si="4"/>
        <v>8.7093805956500008E-3</v>
      </c>
    </row>
    <row r="19" spans="2:19" s="10" customFormat="1">
      <c r="B19" s="78">
        <f t="shared" si="5"/>
        <v>5</v>
      </c>
      <c r="C19" s="684" t="s">
        <v>985</v>
      </c>
      <c r="D19" s="1165">
        <v>0</v>
      </c>
      <c r="E19" s="698">
        <f>8948*ASSUM!$C$91/10^7</f>
        <v>8.6638729927599996E-4</v>
      </c>
      <c r="F19" s="1167">
        <v>0</v>
      </c>
      <c r="G19" s="1167">
        <f t="shared" si="0"/>
        <v>8.6638729927599996E-4</v>
      </c>
      <c r="H19" s="1167">
        <f t="shared" si="1"/>
        <v>8.6638729927599996E-4</v>
      </c>
      <c r="I19" s="717">
        <v>0</v>
      </c>
      <c r="J19" s="1167">
        <v>0</v>
      </c>
      <c r="K19" s="1167">
        <f t="shared" si="2"/>
        <v>8.6638729927599996E-4</v>
      </c>
      <c r="L19" s="1167">
        <f t="shared" si="3"/>
        <v>8.6638729927599996E-4</v>
      </c>
      <c r="M19" s="1167">
        <v>0</v>
      </c>
      <c r="N19" s="686">
        <v>0</v>
      </c>
      <c r="O19" s="686">
        <f t="shared" si="4"/>
        <v>8.6638729927599996E-4</v>
      </c>
    </row>
    <row r="20" spans="2:19" s="10" customFormat="1">
      <c r="B20" s="78">
        <f t="shared" si="5"/>
        <v>6</v>
      </c>
      <c r="C20" s="684" t="s">
        <v>986</v>
      </c>
      <c r="D20" s="1165">
        <v>0</v>
      </c>
      <c r="E20" s="698">
        <f>933963*ASSUM!$C$91/10^7</f>
        <v>9.0430675144581002E-2</v>
      </c>
      <c r="F20" s="1167">
        <v>0</v>
      </c>
      <c r="G20" s="1167">
        <f t="shared" si="0"/>
        <v>9.0430675144581002E-2</v>
      </c>
      <c r="H20" s="1167">
        <f t="shared" si="1"/>
        <v>9.0430675144581002E-2</v>
      </c>
      <c r="I20" s="717">
        <v>0</v>
      </c>
      <c r="J20" s="1167">
        <v>0</v>
      </c>
      <c r="K20" s="1167">
        <f t="shared" si="2"/>
        <v>9.0430675144581002E-2</v>
      </c>
      <c r="L20" s="1167">
        <f t="shared" si="3"/>
        <v>9.0430675144581002E-2</v>
      </c>
      <c r="M20" s="1167">
        <v>0</v>
      </c>
      <c r="N20" s="686">
        <v>0</v>
      </c>
      <c r="O20" s="686">
        <f>L20+M20-N20</f>
        <v>9.0430675144581002E-2</v>
      </c>
    </row>
    <row r="21" spans="2:19" s="1" customFormat="1">
      <c r="B21" s="149">
        <f t="shared" si="5"/>
        <v>7</v>
      </c>
      <c r="C21" s="90" t="s">
        <v>115</v>
      </c>
      <c r="D21" s="1168">
        <f>+SUM(D15:D20)</f>
        <v>43.300000000000004</v>
      </c>
      <c r="E21" s="1168">
        <f>+SUM(E15:E20)</f>
        <v>7.5884471005569063</v>
      </c>
      <c r="F21" s="1168">
        <f>+SUM(F15:F20)</f>
        <v>0</v>
      </c>
      <c r="G21" s="1168">
        <f>+SUM(G15:G20)</f>
        <v>50.88844710055691</v>
      </c>
      <c r="H21" s="1168">
        <f>+SUM(H15:H20)</f>
        <v>50.88844710055691</v>
      </c>
      <c r="I21" s="1168">
        <f>+'F4'!H15</f>
        <v>0.53022883350753802</v>
      </c>
      <c r="J21" s="1168">
        <f>+SUM(J15:J20)</f>
        <v>0</v>
      </c>
      <c r="K21" s="1168">
        <f>+SUM(K15:K20)</f>
        <v>51.418675934064446</v>
      </c>
      <c r="L21" s="1168">
        <f>+SUM(L15:L20)</f>
        <v>51.418675934064446</v>
      </c>
      <c r="M21" s="1168">
        <f>+'F4'!M15</f>
        <v>0.42</v>
      </c>
      <c r="N21" s="710">
        <f>+SUM(N15:N20)</f>
        <v>0</v>
      </c>
      <c r="O21" s="710">
        <f>+SUM(O15:O20)</f>
        <v>51.838675934064447</v>
      </c>
    </row>
    <row r="22" spans="2:19">
      <c r="B22" s="46"/>
      <c r="C22" s="154"/>
      <c r="E22" s="10"/>
      <c r="G22" s="10"/>
      <c r="H22" s="10"/>
      <c r="R22" s="52"/>
      <c r="S22" s="52"/>
    </row>
    <row r="23" spans="2:19">
      <c r="B23" s="46"/>
      <c r="C23" s="154"/>
      <c r="E23" s="10"/>
      <c r="G23" s="10"/>
      <c r="H23" s="10"/>
      <c r="K23" s="52" t="s">
        <v>16</v>
      </c>
      <c r="O23" s="378"/>
      <c r="R23" s="52"/>
    </row>
    <row r="24" spans="2:19" ht="15.75" customHeight="1">
      <c r="B24" s="1376" t="s">
        <v>157</v>
      </c>
      <c r="C24" s="1376" t="s">
        <v>49</v>
      </c>
      <c r="D24" s="1376" t="s">
        <v>148</v>
      </c>
      <c r="E24" s="1376"/>
      <c r="F24" s="1376"/>
      <c r="G24" s="1376"/>
      <c r="H24" s="1376" t="s">
        <v>149</v>
      </c>
      <c r="I24" s="1376"/>
      <c r="J24" s="1376"/>
      <c r="K24" s="1376"/>
      <c r="L24" s="1467"/>
      <c r="M24" s="1467"/>
      <c r="N24" s="1467"/>
      <c r="O24" s="1467"/>
    </row>
    <row r="25" spans="2:19" ht="15.75" customHeight="1">
      <c r="B25" s="1376"/>
      <c r="C25" s="1376"/>
      <c r="D25" s="1465" t="s">
        <v>689</v>
      </c>
      <c r="E25" s="1466"/>
      <c r="F25" s="1466"/>
      <c r="G25" s="1466"/>
      <c r="H25" s="1465" t="s">
        <v>689</v>
      </c>
      <c r="I25" s="1466"/>
      <c r="J25" s="1466"/>
      <c r="K25" s="1466"/>
      <c r="L25" s="1468"/>
      <c r="M25" s="1469"/>
      <c r="N25" s="1469"/>
      <c r="O25" s="1469"/>
    </row>
    <row r="26" spans="2:19" s="38" customFormat="1" ht="42.75">
      <c r="B26" s="1376"/>
      <c r="C26" s="1376"/>
      <c r="D26" s="365" t="s">
        <v>111</v>
      </c>
      <c r="E26" s="365" t="s">
        <v>112</v>
      </c>
      <c r="F26" s="365" t="s">
        <v>113</v>
      </c>
      <c r="G26" s="365" t="s">
        <v>114</v>
      </c>
      <c r="H26" s="365" t="s">
        <v>111</v>
      </c>
      <c r="I26" s="365" t="s">
        <v>112</v>
      </c>
      <c r="J26" s="365" t="s">
        <v>113</v>
      </c>
      <c r="K26" s="365" t="s">
        <v>114</v>
      </c>
      <c r="L26" s="379"/>
      <c r="M26" s="379"/>
      <c r="N26" s="379"/>
      <c r="O26" s="379"/>
    </row>
    <row r="27" spans="2:19" s="39" customFormat="1">
      <c r="B27" s="73">
        <v>1</v>
      </c>
      <c r="C27" s="684" t="str">
        <f t="shared" ref="C27:C32" si="6">C15</f>
        <v>Leasehold land</v>
      </c>
      <c r="D27" s="686">
        <f>+O15</f>
        <v>0.08</v>
      </c>
      <c r="E27" s="686">
        <v>0</v>
      </c>
      <c r="F27" s="686">
        <v>0</v>
      </c>
      <c r="G27" s="686">
        <f>+D27+E27-F27</f>
        <v>0.08</v>
      </c>
      <c r="H27" s="686">
        <f>+G27</f>
        <v>0.08</v>
      </c>
      <c r="I27" s="686">
        <v>0</v>
      </c>
      <c r="J27" s="686">
        <v>0</v>
      </c>
      <c r="K27" s="686">
        <f>+H27+I27-J27</f>
        <v>0.08</v>
      </c>
      <c r="L27" s="380"/>
      <c r="M27" s="380"/>
      <c r="N27" s="380"/>
      <c r="O27" s="380"/>
    </row>
    <row r="28" spans="2:19" s="10" customFormat="1">
      <c r="B28" s="78">
        <f>+B27+1</f>
        <v>2</v>
      </c>
      <c r="C28" s="684" t="str">
        <f t="shared" si="6"/>
        <v>Building and other Civil Works</v>
      </c>
      <c r="D28" s="686">
        <f t="shared" ref="D28:D32" si="7">+O16</f>
        <v>10.45</v>
      </c>
      <c r="E28" s="686">
        <v>0</v>
      </c>
      <c r="F28" s="686">
        <v>0</v>
      </c>
      <c r="G28" s="686">
        <f t="shared" ref="G28:G32" si="8">+D28+E28-F28</f>
        <v>10.45</v>
      </c>
      <c r="H28" s="686">
        <f t="shared" ref="H28:H32" si="9">+G28</f>
        <v>10.45</v>
      </c>
      <c r="I28" s="686">
        <v>0</v>
      </c>
      <c r="J28" s="686">
        <v>0</v>
      </c>
      <c r="K28" s="686">
        <f t="shared" ref="K28:K32" si="10">+H28+I28-J28</f>
        <v>10.45</v>
      </c>
      <c r="L28" s="16"/>
      <c r="M28" s="16"/>
      <c r="N28" s="16"/>
      <c r="O28" s="16"/>
    </row>
    <row r="29" spans="2:19" s="10" customFormat="1">
      <c r="B29" s="78">
        <f t="shared" ref="B29:B33" si="11">+B28+1</f>
        <v>3</v>
      </c>
      <c r="C29" s="684" t="str">
        <f t="shared" si="6"/>
        <v>Plant &amp; Machinery</v>
      </c>
      <c r="D29" s="686">
        <f t="shared" si="7"/>
        <v>41.208669491024942</v>
      </c>
      <c r="E29" s="686">
        <f>+E33</f>
        <v>0.9</v>
      </c>
      <c r="F29" s="686">
        <v>0</v>
      </c>
      <c r="G29" s="686">
        <f t="shared" si="8"/>
        <v>42.108669491024941</v>
      </c>
      <c r="H29" s="686">
        <f t="shared" si="9"/>
        <v>42.108669491024941</v>
      </c>
      <c r="I29" s="686">
        <f>+I33</f>
        <v>0.9</v>
      </c>
      <c r="J29" s="686">
        <v>0</v>
      </c>
      <c r="K29" s="686">
        <f t="shared" si="10"/>
        <v>43.008669491024939</v>
      </c>
      <c r="L29" s="16"/>
      <c r="M29" s="16"/>
      <c r="N29" s="16"/>
      <c r="O29" s="16"/>
    </row>
    <row r="30" spans="2:19" s="10" customFormat="1">
      <c r="B30" s="78">
        <f t="shared" si="11"/>
        <v>4</v>
      </c>
      <c r="C30" s="684" t="str">
        <f t="shared" si="6"/>
        <v>Computers</v>
      </c>
      <c r="D30" s="1167">
        <f t="shared" si="7"/>
        <v>8.7093805956500008E-3</v>
      </c>
      <c r="E30" s="1167">
        <v>0</v>
      </c>
      <c r="F30" s="1167">
        <v>0</v>
      </c>
      <c r="G30" s="1167">
        <f t="shared" si="8"/>
        <v>8.7093805956500008E-3</v>
      </c>
      <c r="H30" s="1167">
        <f t="shared" si="9"/>
        <v>8.7093805956500008E-3</v>
      </c>
      <c r="I30" s="1167">
        <v>0</v>
      </c>
      <c r="J30" s="1167">
        <v>0</v>
      </c>
      <c r="K30" s="1167">
        <f t="shared" si="10"/>
        <v>8.7093805956500008E-3</v>
      </c>
      <c r="L30" s="16"/>
      <c r="M30" s="16"/>
      <c r="N30" s="16"/>
      <c r="O30" s="16"/>
    </row>
    <row r="31" spans="2:19">
      <c r="B31" s="78">
        <f t="shared" si="11"/>
        <v>5</v>
      </c>
      <c r="C31" s="684" t="str">
        <f t="shared" si="6"/>
        <v>Office Equipment</v>
      </c>
      <c r="D31" s="1167">
        <f t="shared" si="7"/>
        <v>8.6638729927599996E-4</v>
      </c>
      <c r="E31" s="1167">
        <v>0</v>
      </c>
      <c r="F31" s="1167">
        <v>0</v>
      </c>
      <c r="G31" s="1167">
        <f t="shared" si="8"/>
        <v>8.6638729927599996E-4</v>
      </c>
      <c r="H31" s="1167">
        <f t="shared" si="9"/>
        <v>8.6638729927599996E-4</v>
      </c>
      <c r="I31" s="1167">
        <v>0</v>
      </c>
      <c r="J31" s="1167">
        <v>0</v>
      </c>
      <c r="K31" s="1167">
        <f t="shared" si="10"/>
        <v>8.6638729927599996E-4</v>
      </c>
      <c r="L31" s="16"/>
      <c r="M31" s="16"/>
      <c r="N31" s="16"/>
      <c r="O31" s="16"/>
    </row>
    <row r="32" spans="2:19">
      <c r="B32" s="78">
        <f t="shared" si="11"/>
        <v>6</v>
      </c>
      <c r="C32" s="684" t="str">
        <f t="shared" si="6"/>
        <v>Computer Software</v>
      </c>
      <c r="D32" s="1167">
        <f t="shared" si="7"/>
        <v>9.0430675144581002E-2</v>
      </c>
      <c r="E32" s="1167">
        <v>0</v>
      </c>
      <c r="F32" s="1167">
        <v>0</v>
      </c>
      <c r="G32" s="1167">
        <f t="shared" si="8"/>
        <v>9.0430675144581002E-2</v>
      </c>
      <c r="H32" s="1167">
        <f t="shared" si="9"/>
        <v>9.0430675144581002E-2</v>
      </c>
      <c r="I32" s="1167">
        <v>0</v>
      </c>
      <c r="J32" s="1167">
        <v>0</v>
      </c>
      <c r="K32" s="1167">
        <f t="shared" si="10"/>
        <v>9.0430675144581002E-2</v>
      </c>
      <c r="L32" s="16"/>
      <c r="M32" s="16"/>
      <c r="N32" s="16"/>
      <c r="O32" s="16"/>
    </row>
    <row r="33" spans="2:35" s="1" customFormat="1" ht="18">
      <c r="B33" s="149">
        <f t="shared" si="11"/>
        <v>7</v>
      </c>
      <c r="C33" s="90" t="s">
        <v>115</v>
      </c>
      <c r="D33" s="1169">
        <f>K21</f>
        <v>51.418675934064446</v>
      </c>
      <c r="E33" s="1169">
        <f>+'F4'!P15</f>
        <v>0.9</v>
      </c>
      <c r="F33" s="1169">
        <v>0</v>
      </c>
      <c r="G33" s="1168">
        <f>+SUM(G27:G32)</f>
        <v>52.738675934064446</v>
      </c>
      <c r="H33" s="1168">
        <f>+SUM(H27:H32)</f>
        <v>52.738675934064446</v>
      </c>
      <c r="I33" s="1169">
        <f>+'F4'!R15</f>
        <v>0.9</v>
      </c>
      <c r="J33" s="1169">
        <v>0</v>
      </c>
      <c r="K33" s="1168">
        <f>+SUM(K27:K32)</f>
        <v>53.638675934064445</v>
      </c>
      <c r="L33" s="381"/>
      <c r="M33" s="381"/>
      <c r="N33" s="381"/>
      <c r="O33" s="381"/>
    </row>
    <row r="34" spans="2:35" s="1" customFormat="1" ht="18">
      <c r="B34" s="43"/>
      <c r="C34" s="58"/>
      <c r="D34" s="43"/>
      <c r="E34" s="43"/>
      <c r="F34" s="43"/>
      <c r="G34" s="43"/>
      <c r="H34" s="43"/>
      <c r="I34" s="43"/>
      <c r="J34" s="43"/>
      <c r="K34" s="43"/>
      <c r="L34" s="43"/>
      <c r="M34" s="43"/>
      <c r="N34" s="43"/>
      <c r="O34" s="43"/>
      <c r="P34" s="43"/>
      <c r="Q34" s="43"/>
      <c r="R34" s="43"/>
      <c r="S34" s="43"/>
      <c r="T34" s="43"/>
      <c r="U34" s="43"/>
      <c r="V34" s="43"/>
      <c r="W34" s="43"/>
    </row>
    <row r="36" spans="2:35">
      <c r="B36" s="46" t="s">
        <v>116</v>
      </c>
    </row>
    <row r="37" spans="2:35">
      <c r="B37" s="46"/>
    </row>
    <row r="38" spans="2:35">
      <c r="E38" s="10"/>
      <c r="G38" s="10"/>
      <c r="H38" s="10"/>
      <c r="K38" s="52"/>
      <c r="O38" s="52" t="s">
        <v>16</v>
      </c>
      <c r="Q38" s="52"/>
    </row>
    <row r="39" spans="2:35" ht="15" customHeight="1">
      <c r="B39" s="1376" t="s">
        <v>157</v>
      </c>
      <c r="C39" s="1376" t="s">
        <v>49</v>
      </c>
      <c r="D39" s="1465" t="s">
        <v>38</v>
      </c>
      <c r="E39" s="1465"/>
      <c r="F39" s="1465"/>
      <c r="G39" s="1465"/>
      <c r="H39" s="1376" t="s">
        <v>146</v>
      </c>
      <c r="I39" s="1376"/>
      <c r="J39" s="1376"/>
      <c r="K39" s="1376"/>
      <c r="L39" s="1376" t="s">
        <v>147</v>
      </c>
      <c r="M39" s="1376"/>
      <c r="N39" s="1376"/>
      <c r="O39" s="1376"/>
    </row>
    <row r="40" spans="2:35">
      <c r="B40" s="1376"/>
      <c r="C40" s="1376"/>
      <c r="D40" s="1465" t="s">
        <v>12</v>
      </c>
      <c r="E40" s="1466"/>
      <c r="F40" s="1466"/>
      <c r="G40" s="1466"/>
      <c r="H40" s="1465" t="s">
        <v>12</v>
      </c>
      <c r="I40" s="1466"/>
      <c r="J40" s="1466"/>
      <c r="K40" s="1466"/>
      <c r="L40" s="1465" t="s">
        <v>688</v>
      </c>
      <c r="M40" s="1466"/>
      <c r="N40" s="1466"/>
      <c r="O40" s="1466"/>
    </row>
    <row r="41" spans="2:35" ht="57">
      <c r="B41" s="1376"/>
      <c r="C41" s="1376"/>
      <c r="D41" s="365" t="s">
        <v>993</v>
      </c>
      <c r="E41" s="365" t="s">
        <v>112</v>
      </c>
      <c r="F41" s="365" t="s">
        <v>113</v>
      </c>
      <c r="G41" s="666" t="s">
        <v>994</v>
      </c>
      <c r="H41" s="666" t="s">
        <v>993</v>
      </c>
      <c r="I41" s="666" t="s">
        <v>112</v>
      </c>
      <c r="J41" s="666" t="s">
        <v>113</v>
      </c>
      <c r="K41" s="666" t="s">
        <v>994</v>
      </c>
      <c r="L41" s="666" t="s">
        <v>993</v>
      </c>
      <c r="M41" s="666" t="s">
        <v>112</v>
      </c>
      <c r="N41" s="666" t="s">
        <v>113</v>
      </c>
      <c r="O41" s="666" t="s">
        <v>994</v>
      </c>
    </row>
    <row r="42" spans="2:35">
      <c r="B42" s="73">
        <v>1</v>
      </c>
      <c r="C42" s="684" t="s">
        <v>978</v>
      </c>
      <c r="D42" s="686">
        <v>0</v>
      </c>
      <c r="E42" s="686">
        <f>+(D15*ASSUM!$C34)+(E15*ASSUM!$C34/2)</f>
        <v>2.6719999999999999E-3</v>
      </c>
      <c r="F42" s="686">
        <v>0</v>
      </c>
      <c r="G42" s="686">
        <f>D42+E42-F42</f>
        <v>2.6719999999999999E-3</v>
      </c>
      <c r="H42" s="686">
        <f>G42</f>
        <v>2.6719999999999999E-3</v>
      </c>
      <c r="I42" s="686">
        <f>+(H15*ASSUM!$D34)+(I15*ASSUM!$D34/2)</f>
        <v>2.6719999999999999E-3</v>
      </c>
      <c r="J42" s="686">
        <v>0</v>
      </c>
      <c r="K42" s="686">
        <f>H42+I42-J42</f>
        <v>5.3439999999999998E-3</v>
      </c>
      <c r="L42" s="686">
        <f>K42</f>
        <v>5.3439999999999998E-3</v>
      </c>
      <c r="M42" s="686">
        <f>+(L15*ASSUM!$E34)+(M15*ASSUM!$E34/2)</f>
        <v>2.6719999999999999E-3</v>
      </c>
      <c r="N42" s="686">
        <v>0</v>
      </c>
      <c r="O42" s="686">
        <f>L42+M42-N42</f>
        <v>8.0159999999999988E-3</v>
      </c>
    </row>
    <row r="43" spans="2:35">
      <c r="B43" s="78">
        <f>+B42+1</f>
        <v>2</v>
      </c>
      <c r="C43" s="684" t="s">
        <v>979</v>
      </c>
      <c r="D43" s="686">
        <v>0</v>
      </c>
      <c r="E43" s="686">
        <f>+(D16*ASSUM!$C35)+(E16*ASSUM!$C35/2)</f>
        <v>0.34902999999999995</v>
      </c>
      <c r="F43" s="686">
        <v>0</v>
      </c>
      <c r="G43" s="686">
        <f t="shared" ref="G43:G47" si="12">D43+E43-F43</f>
        <v>0.34902999999999995</v>
      </c>
      <c r="H43" s="686">
        <f t="shared" ref="H43:H47" si="13">G43</f>
        <v>0.34902999999999995</v>
      </c>
      <c r="I43" s="686">
        <f>+(H16*ASSUM!$D35)+(I16*ASSUM!$D35/2)</f>
        <v>0.34902999999999995</v>
      </c>
      <c r="J43" s="686">
        <v>0</v>
      </c>
      <c r="K43" s="686">
        <f t="shared" ref="K43:K47" si="14">H43+I43-J43</f>
        <v>0.6980599999999999</v>
      </c>
      <c r="L43" s="686">
        <f t="shared" ref="L43:L47" si="15">K43</f>
        <v>0.6980599999999999</v>
      </c>
      <c r="M43" s="686">
        <f>+(L16*ASSUM!$E35)+(M16*ASSUM!$E35/2)</f>
        <v>0.34902999999999995</v>
      </c>
      <c r="N43" s="686">
        <v>0</v>
      </c>
      <c r="O43" s="686">
        <f t="shared" ref="O43:O47" si="16">L43+M43-N43</f>
        <v>1.0470899999999999</v>
      </c>
    </row>
    <row r="44" spans="2:35">
      <c r="B44" s="78">
        <f t="shared" ref="B44:B48" si="17">+B43+1</f>
        <v>3</v>
      </c>
      <c r="C44" s="684" t="s">
        <v>106</v>
      </c>
      <c r="D44" s="686">
        <v>0</v>
      </c>
      <c r="E44" s="686">
        <f>+(D17*ASSUM!$C36)+(E17*ASSUM!$C36/2)</f>
        <v>1.9279508333584596</v>
      </c>
      <c r="F44" s="686">
        <v>0</v>
      </c>
      <c r="G44" s="686">
        <f t="shared" si="12"/>
        <v>1.9279508333584596</v>
      </c>
      <c r="H44" s="686">
        <f t="shared" si="13"/>
        <v>1.9279508333584596</v>
      </c>
      <c r="I44" s="686">
        <f>+(H17*ASSUM!$D36)+(I17*ASSUM!$D36/2)</f>
        <v>2.1396437079215178</v>
      </c>
      <c r="J44" s="686">
        <v>0</v>
      </c>
      <c r="K44" s="686">
        <f t="shared" si="14"/>
        <v>4.067594541279977</v>
      </c>
      <c r="L44" s="686">
        <f t="shared" si="15"/>
        <v>4.067594541279977</v>
      </c>
      <c r="M44" s="686">
        <f>+(L17*ASSUM!$E36)+(M17*ASSUM!$E36/2)</f>
        <v>2.164729749126117</v>
      </c>
      <c r="N44" s="686">
        <v>0</v>
      </c>
      <c r="O44" s="686">
        <f t="shared" si="16"/>
        <v>6.232324290406094</v>
      </c>
    </row>
    <row r="45" spans="2:35">
      <c r="B45" s="78">
        <f t="shared" si="17"/>
        <v>4</v>
      </c>
      <c r="C45" s="684" t="s">
        <v>952</v>
      </c>
      <c r="D45" s="686">
        <v>0</v>
      </c>
      <c r="E45" s="686">
        <f>+(D18*ASSUM!$C37)+(E18*ASSUM!$C37/2)</f>
        <v>6.5320354467374999E-4</v>
      </c>
      <c r="F45" s="686">
        <v>0</v>
      </c>
      <c r="G45" s="686">
        <f t="shared" si="12"/>
        <v>6.5320354467374999E-4</v>
      </c>
      <c r="H45" s="686">
        <f t="shared" si="13"/>
        <v>6.5320354467374999E-4</v>
      </c>
      <c r="I45" s="686">
        <f>+(H18*ASSUM!$D37)+(I18*ASSUM!$D37/2)</f>
        <v>1.3064070893475E-3</v>
      </c>
      <c r="J45" s="686">
        <v>0</v>
      </c>
      <c r="K45" s="686">
        <f t="shared" si="14"/>
        <v>1.9596106340212501E-3</v>
      </c>
      <c r="L45" s="686">
        <f t="shared" si="15"/>
        <v>1.9596106340212501E-3</v>
      </c>
      <c r="M45" s="686">
        <f>+(L18*ASSUM!$E37)+(M18*ASSUM!$E37/2)</f>
        <v>1.3064070893475E-3</v>
      </c>
      <c r="N45" s="686">
        <v>0</v>
      </c>
      <c r="O45" s="686">
        <f t="shared" si="16"/>
        <v>3.2660177233687498E-3</v>
      </c>
    </row>
    <row r="46" spans="2:35">
      <c r="B46" s="78">
        <f t="shared" si="17"/>
        <v>5</v>
      </c>
      <c r="C46" s="684" t="s">
        <v>985</v>
      </c>
      <c r="D46" s="686">
        <v>0</v>
      </c>
      <c r="E46" s="686">
        <f>+(D19*ASSUM!$C38)+(E19*ASSUM!$C38/2)</f>
        <v>2.7421158022085398E-5</v>
      </c>
      <c r="F46" s="686">
        <v>0</v>
      </c>
      <c r="G46" s="686">
        <f t="shared" si="12"/>
        <v>2.7421158022085398E-5</v>
      </c>
      <c r="H46" s="686">
        <f t="shared" si="13"/>
        <v>2.7421158022085398E-5</v>
      </c>
      <c r="I46" s="686">
        <f>+(H19*ASSUM!$D38)+(I19*ASSUM!$D38/2)</f>
        <v>5.4842316044170795E-5</v>
      </c>
      <c r="J46" s="686">
        <v>0</v>
      </c>
      <c r="K46" s="686">
        <f t="shared" si="14"/>
        <v>8.2263474066256189E-5</v>
      </c>
      <c r="L46" s="686">
        <f t="shared" si="15"/>
        <v>8.2263474066256189E-5</v>
      </c>
      <c r="M46" s="686">
        <f>+(L19*ASSUM!$E38)+(M19*ASSUM!$E38/2)</f>
        <v>5.4842316044170795E-5</v>
      </c>
      <c r="N46" s="686">
        <v>0</v>
      </c>
      <c r="O46" s="686">
        <f t="shared" si="16"/>
        <v>1.3710579011042698E-4</v>
      </c>
    </row>
    <row r="47" spans="2:35">
      <c r="B47" s="78">
        <f t="shared" si="17"/>
        <v>6</v>
      </c>
      <c r="C47" s="684" t="s">
        <v>986</v>
      </c>
      <c r="D47" s="686">
        <v>0</v>
      </c>
      <c r="E47" s="686">
        <f>+(D20*ASSUM!$C39)+(E20*ASSUM!$C39/2)</f>
        <v>2.3873698238169386E-3</v>
      </c>
      <c r="F47" s="686">
        <v>0</v>
      </c>
      <c r="G47" s="686">
        <f t="shared" si="12"/>
        <v>2.3873698238169386E-3</v>
      </c>
      <c r="H47" s="686">
        <f t="shared" si="13"/>
        <v>2.3873698238169386E-3</v>
      </c>
      <c r="I47" s="686">
        <f>+(H20*ASSUM!$D39)+(I20*ASSUM!$D39/2)</f>
        <v>2.7129202543374299E-2</v>
      </c>
      <c r="J47" s="686">
        <v>0</v>
      </c>
      <c r="K47" s="686">
        <f t="shared" si="14"/>
        <v>2.9516572367191237E-2</v>
      </c>
      <c r="L47" s="686">
        <f t="shared" si="15"/>
        <v>2.9516572367191237E-2</v>
      </c>
      <c r="M47" s="686">
        <f>+(L20*ASSUM!$E39)+(M20*ASSUM!$E39/2)</f>
        <v>2.7129202543374299E-2</v>
      </c>
      <c r="N47" s="686">
        <v>0</v>
      </c>
      <c r="O47" s="686">
        <f t="shared" si="16"/>
        <v>5.6645774910565536E-2</v>
      </c>
    </row>
    <row r="48" spans="2:35" ht="18">
      <c r="B48" s="149">
        <f t="shared" si="17"/>
        <v>7</v>
      </c>
      <c r="C48" s="90" t="s">
        <v>115</v>
      </c>
      <c r="D48" s="714">
        <f>+SUM(D42:D47)</f>
        <v>0</v>
      </c>
      <c r="E48" s="714">
        <f>+SUM(E42:E47)</f>
        <v>2.2827208278849724</v>
      </c>
      <c r="F48" s="714">
        <f t="shared" ref="F48:O48" si="18">+SUM(F42:F47)</f>
        <v>0</v>
      </c>
      <c r="G48" s="714">
        <f t="shared" si="18"/>
        <v>2.2827208278849724</v>
      </c>
      <c r="H48" s="714">
        <f t="shared" si="18"/>
        <v>2.2827208278849724</v>
      </c>
      <c r="I48" s="714">
        <f t="shared" si="18"/>
        <v>2.5198361598702839</v>
      </c>
      <c r="J48" s="714">
        <f t="shared" si="18"/>
        <v>0</v>
      </c>
      <c r="K48" s="714">
        <f t="shared" si="18"/>
        <v>4.8025569877552554</v>
      </c>
      <c r="L48" s="714">
        <f t="shared" si="18"/>
        <v>4.8025569877552554</v>
      </c>
      <c r="M48" s="714">
        <f t="shared" si="18"/>
        <v>2.5449222010748831</v>
      </c>
      <c r="N48" s="714">
        <f t="shared" si="18"/>
        <v>0</v>
      </c>
      <c r="O48" s="714">
        <f t="shared" si="18"/>
        <v>7.347479188830139</v>
      </c>
      <c r="P48" s="43"/>
      <c r="Q48" s="43"/>
      <c r="R48" s="43"/>
      <c r="S48" s="52"/>
      <c r="T48" s="43"/>
      <c r="U48" s="43"/>
      <c r="V48" s="43"/>
      <c r="W48" s="43"/>
      <c r="X48" s="43"/>
      <c r="Y48" s="43"/>
      <c r="Z48" s="43"/>
      <c r="AA48" s="43"/>
      <c r="AB48" s="43"/>
      <c r="AC48" s="43"/>
      <c r="AD48" s="43"/>
      <c r="AE48" s="43"/>
      <c r="AF48" s="43"/>
      <c r="AG48" s="43"/>
      <c r="AH48" s="43"/>
      <c r="AI48" s="43"/>
    </row>
    <row r="49" spans="2:35" ht="18">
      <c r="B49" s="46"/>
      <c r="C49" s="154"/>
      <c r="E49" s="10"/>
      <c r="G49" s="10"/>
      <c r="H49" s="10"/>
      <c r="P49" s="43"/>
      <c r="Q49" s="43"/>
      <c r="R49" s="43"/>
      <c r="S49" s="43"/>
      <c r="T49" s="43"/>
      <c r="U49" s="43"/>
      <c r="V49" s="43"/>
      <c r="W49" s="43"/>
      <c r="X49" s="43"/>
      <c r="Y49" s="43"/>
      <c r="Z49" s="43"/>
      <c r="AA49" s="43"/>
      <c r="AB49" s="43"/>
      <c r="AC49" s="43"/>
      <c r="AD49" s="43"/>
      <c r="AE49" s="43"/>
      <c r="AF49" s="43"/>
      <c r="AG49" s="43"/>
      <c r="AH49" s="43"/>
      <c r="AI49" s="43"/>
    </row>
    <row r="50" spans="2:35" ht="15" customHeight="1">
      <c r="B50" s="46"/>
      <c r="C50" s="154"/>
      <c r="E50" s="10"/>
      <c r="G50" s="10"/>
      <c r="H50" s="10"/>
      <c r="K50" s="52" t="s">
        <v>16</v>
      </c>
      <c r="O50" s="378"/>
    </row>
    <row r="51" spans="2:35">
      <c r="B51" s="1376" t="s">
        <v>157</v>
      </c>
      <c r="C51" s="1376" t="s">
        <v>49</v>
      </c>
      <c r="D51" s="1376" t="s">
        <v>148</v>
      </c>
      <c r="E51" s="1376"/>
      <c r="F51" s="1376"/>
      <c r="G51" s="1376"/>
      <c r="H51" s="1376" t="s">
        <v>149</v>
      </c>
      <c r="I51" s="1376"/>
      <c r="J51" s="1376"/>
      <c r="K51" s="1376"/>
      <c r="L51" s="1467"/>
      <c r="M51" s="1467"/>
      <c r="N51" s="1467"/>
      <c r="O51" s="1467"/>
    </row>
    <row r="52" spans="2:35">
      <c r="B52" s="1376"/>
      <c r="C52" s="1376"/>
      <c r="D52" s="1465" t="s">
        <v>689</v>
      </c>
      <c r="E52" s="1466"/>
      <c r="F52" s="1466"/>
      <c r="G52" s="1466"/>
      <c r="H52" s="1465" t="s">
        <v>689</v>
      </c>
      <c r="I52" s="1466"/>
      <c r="J52" s="1466"/>
      <c r="K52" s="1466"/>
      <c r="L52" s="1468"/>
      <c r="M52" s="1469"/>
      <c r="N52" s="1469"/>
      <c r="O52" s="1469"/>
    </row>
    <row r="53" spans="2:35" ht="57">
      <c r="B53" s="1376"/>
      <c r="C53" s="1376"/>
      <c r="D53" s="666" t="s">
        <v>993</v>
      </c>
      <c r="E53" s="666" t="s">
        <v>112</v>
      </c>
      <c r="F53" s="666" t="s">
        <v>113</v>
      </c>
      <c r="G53" s="666" t="s">
        <v>994</v>
      </c>
      <c r="H53" s="666" t="s">
        <v>993</v>
      </c>
      <c r="I53" s="666" t="s">
        <v>112</v>
      </c>
      <c r="J53" s="666" t="s">
        <v>113</v>
      </c>
      <c r="K53" s="666" t="s">
        <v>994</v>
      </c>
      <c r="L53" s="379"/>
      <c r="M53" s="379"/>
      <c r="N53" s="379"/>
      <c r="O53" s="379"/>
    </row>
    <row r="54" spans="2:35">
      <c r="B54" s="73">
        <v>1</v>
      </c>
      <c r="C54" s="684" t="s">
        <v>978</v>
      </c>
      <c r="D54" s="686">
        <f>O42</f>
        <v>8.0159999999999988E-3</v>
      </c>
      <c r="E54" s="686">
        <f>+(D27*ASSUM!$F34)+(E27*ASSUM!$F34/2)</f>
        <v>2.6719999999999999E-3</v>
      </c>
      <c r="F54" s="686">
        <v>0</v>
      </c>
      <c r="G54" s="686">
        <f>D54+E54-F54</f>
        <v>1.0688E-2</v>
      </c>
      <c r="H54" s="686">
        <f>+G54</f>
        <v>1.0688E-2</v>
      </c>
      <c r="I54" s="686">
        <f>+(H27*ASSUM!$G34)+(I27*ASSUM!$G34/2)</f>
        <v>2.6719999999999999E-3</v>
      </c>
      <c r="J54" s="686">
        <v>0</v>
      </c>
      <c r="K54" s="686">
        <f t="shared" ref="K54:K59" si="19">H54+I54-J54</f>
        <v>1.336E-2</v>
      </c>
      <c r="L54" s="380"/>
      <c r="M54" s="380"/>
      <c r="N54" s="380"/>
      <c r="O54" s="380"/>
    </row>
    <row r="55" spans="2:35">
      <c r="B55" s="78">
        <f>+B54+1</f>
        <v>2</v>
      </c>
      <c r="C55" s="684" t="s">
        <v>979</v>
      </c>
      <c r="D55" s="686">
        <f t="shared" ref="D55:D59" si="20">O43</f>
        <v>1.0470899999999999</v>
      </c>
      <c r="E55" s="686">
        <f>+(D28*ASSUM!$F35)+(E28*ASSUM!$F35/2)</f>
        <v>0.34902999999999995</v>
      </c>
      <c r="F55" s="686">
        <v>0</v>
      </c>
      <c r="G55" s="686">
        <f t="shared" ref="G55:G59" si="21">D55+E55-F55</f>
        <v>1.3961199999999998</v>
      </c>
      <c r="H55" s="686">
        <f t="shared" ref="H55:H59" si="22">+G55</f>
        <v>1.3961199999999998</v>
      </c>
      <c r="I55" s="686">
        <f>+(H28*ASSUM!$G35)+(I28*ASSUM!$G35/2)</f>
        <v>0.34902999999999995</v>
      </c>
      <c r="J55" s="686">
        <v>0</v>
      </c>
      <c r="K55" s="686">
        <f t="shared" si="19"/>
        <v>1.7451499999999998</v>
      </c>
      <c r="L55" s="16"/>
      <c r="M55" s="16"/>
      <c r="N55" s="16"/>
      <c r="O55" s="16"/>
    </row>
    <row r="56" spans="2:35">
      <c r="B56" s="78">
        <f t="shared" ref="B56:B60" si="23">+B55+1</f>
        <v>3</v>
      </c>
      <c r="C56" s="684" t="s">
        <v>106</v>
      </c>
      <c r="D56" s="686">
        <f t="shared" si="20"/>
        <v>6.232324290406094</v>
      </c>
      <c r="E56" s="686">
        <f>+(D29*ASSUM!$F36)+(E29*ASSUM!$F36/2)</f>
        <v>2.1995777491261168</v>
      </c>
      <c r="F56" s="686">
        <v>0</v>
      </c>
      <c r="G56" s="686">
        <f t="shared" si="21"/>
        <v>8.4319020395322113</v>
      </c>
      <c r="H56" s="686">
        <f t="shared" si="22"/>
        <v>8.4319020395322113</v>
      </c>
      <c r="I56" s="686">
        <f>+(H29*ASSUM!$G36)+(I29*ASSUM!$G36/2)</f>
        <v>2.2470977491261168</v>
      </c>
      <c r="J56" s="686">
        <v>0</v>
      </c>
      <c r="K56" s="686">
        <f t="shared" si="19"/>
        <v>10.678999788658327</v>
      </c>
      <c r="L56" s="16"/>
      <c r="M56" s="16"/>
      <c r="N56" s="16"/>
      <c r="O56" s="16"/>
    </row>
    <row r="57" spans="2:35">
      <c r="B57" s="78">
        <f t="shared" si="23"/>
        <v>4</v>
      </c>
      <c r="C57" s="684" t="s">
        <v>952</v>
      </c>
      <c r="D57" s="686">
        <f t="shared" si="20"/>
        <v>3.2660177233687498E-3</v>
      </c>
      <c r="E57" s="686">
        <f>+(D30*ASSUM!$F37)+(E30*ASSUM!$F37/2)</f>
        <v>1.3064070893475E-3</v>
      </c>
      <c r="F57" s="686">
        <v>0</v>
      </c>
      <c r="G57" s="686">
        <f t="shared" si="21"/>
        <v>4.5724248127162496E-3</v>
      </c>
      <c r="H57" s="686">
        <f t="shared" si="22"/>
        <v>4.5724248127162496E-3</v>
      </c>
      <c r="I57" s="686">
        <f>+(H30*ASSUM!$G37)+(I30*ASSUM!$G37/2)</f>
        <v>1.3064070893475E-3</v>
      </c>
      <c r="J57" s="686">
        <v>0</v>
      </c>
      <c r="K57" s="686">
        <f t="shared" si="19"/>
        <v>5.8788319020637494E-3</v>
      </c>
      <c r="L57" s="16"/>
      <c r="M57" s="16"/>
      <c r="N57" s="16"/>
      <c r="O57" s="16"/>
    </row>
    <row r="58" spans="2:35">
      <c r="B58" s="78">
        <f t="shared" si="23"/>
        <v>5</v>
      </c>
      <c r="C58" s="684" t="s">
        <v>985</v>
      </c>
      <c r="D58" s="686">
        <f t="shared" si="20"/>
        <v>1.3710579011042698E-4</v>
      </c>
      <c r="E58" s="686">
        <f>+(D31*ASSUM!$F38)+(E31*ASSUM!$F38/2)</f>
        <v>5.4842316044170795E-5</v>
      </c>
      <c r="F58" s="686">
        <v>0</v>
      </c>
      <c r="G58" s="686">
        <f t="shared" si="21"/>
        <v>1.9194810615459778E-4</v>
      </c>
      <c r="H58" s="686">
        <f t="shared" si="22"/>
        <v>1.9194810615459778E-4</v>
      </c>
      <c r="I58" s="686">
        <f>+(H31*ASSUM!$G38)+(I31*ASSUM!$G38/2)</f>
        <v>5.4842316044170795E-5</v>
      </c>
      <c r="J58" s="686">
        <v>0</v>
      </c>
      <c r="K58" s="686">
        <f t="shared" si="19"/>
        <v>2.4679042219876855E-4</v>
      </c>
      <c r="L58" s="16"/>
      <c r="M58" s="16"/>
      <c r="N58" s="16"/>
      <c r="O58" s="16"/>
    </row>
    <row r="59" spans="2:35">
      <c r="B59" s="78">
        <f t="shared" si="23"/>
        <v>6</v>
      </c>
      <c r="C59" s="684" t="s">
        <v>986</v>
      </c>
      <c r="D59" s="686">
        <f t="shared" si="20"/>
        <v>5.6645774910565536E-2</v>
      </c>
      <c r="E59" s="686">
        <f>+(D32*ASSUM!$F39)+(E32*ASSUM!$F39/2)</f>
        <v>2.7129202543374299E-2</v>
      </c>
      <c r="F59" s="686">
        <v>0</v>
      </c>
      <c r="G59" s="686">
        <f t="shared" si="21"/>
        <v>8.3774977453939831E-2</v>
      </c>
      <c r="H59" s="686">
        <f t="shared" si="22"/>
        <v>8.3774977453939831E-2</v>
      </c>
      <c r="I59" s="686">
        <f>+(H32*ASSUM!$G39)+(I32*ASSUM!$G39/2)</f>
        <v>2.7129202543374299E-2</v>
      </c>
      <c r="J59" s="686">
        <v>0</v>
      </c>
      <c r="K59" s="686">
        <f t="shared" si="19"/>
        <v>0.11090417999731413</v>
      </c>
      <c r="L59" s="16"/>
      <c r="M59" s="16"/>
      <c r="N59" s="16"/>
      <c r="O59" s="16"/>
    </row>
    <row r="60" spans="2:35" ht="18">
      <c r="B60" s="149">
        <f t="shared" si="23"/>
        <v>7</v>
      </c>
      <c r="C60" s="90" t="s">
        <v>115</v>
      </c>
      <c r="D60" s="714">
        <f>SUM(D54:D59)</f>
        <v>7.347479188830139</v>
      </c>
      <c r="E60" s="714">
        <f t="shared" ref="E60:H60" si="24">SUM(E54:E59)</f>
        <v>2.5797702010748829</v>
      </c>
      <c r="F60" s="714">
        <f t="shared" si="24"/>
        <v>0</v>
      </c>
      <c r="G60" s="714">
        <f t="shared" si="24"/>
        <v>9.9272493899050218</v>
      </c>
      <c r="H60" s="714">
        <f t="shared" si="24"/>
        <v>9.9272493899050218</v>
      </c>
      <c r="I60" s="714">
        <f>SUM(I54:I59)</f>
        <v>2.6272902010748829</v>
      </c>
      <c r="J60" s="714">
        <f>SUM(J54:J59)</f>
        <v>0</v>
      </c>
      <c r="K60" s="714">
        <f>SUM(K54:K59)</f>
        <v>12.554539590979905</v>
      </c>
      <c r="L60" s="381"/>
      <c r="M60" s="381"/>
      <c r="N60" s="381"/>
      <c r="O60" s="381"/>
    </row>
    <row r="61" spans="2:35" ht="18">
      <c r="B61" s="43"/>
      <c r="C61" s="58"/>
      <c r="D61" s="43"/>
      <c r="E61" s="43"/>
      <c r="F61" s="43"/>
      <c r="G61" s="43"/>
      <c r="H61" s="43"/>
      <c r="I61" s="43"/>
      <c r="J61" s="43"/>
      <c r="K61" s="43"/>
      <c r="L61" s="381"/>
      <c r="M61" s="381"/>
      <c r="N61" s="381"/>
      <c r="O61" s="381"/>
    </row>
    <row r="62" spans="2:35" ht="18">
      <c r="B62" s="43"/>
      <c r="C62" s="58"/>
      <c r="D62" s="43"/>
      <c r="E62" s="43"/>
      <c r="F62" s="43"/>
      <c r="G62" s="43"/>
      <c r="H62" s="43"/>
      <c r="I62" s="43"/>
      <c r="J62" s="43"/>
      <c r="K62" s="43"/>
      <c r="L62" s="381"/>
      <c r="M62" s="381"/>
      <c r="N62" s="381"/>
      <c r="O62" s="381"/>
    </row>
    <row r="63" spans="2:35">
      <c r="B63" s="46" t="s">
        <v>158</v>
      </c>
    </row>
    <row r="64" spans="2:35">
      <c r="B64" s="46"/>
    </row>
    <row r="65" spans="2:35" ht="32.25" customHeight="1">
      <c r="E65" s="10"/>
      <c r="G65" s="10"/>
      <c r="H65" s="10"/>
      <c r="K65" s="52"/>
      <c r="O65" s="52" t="s">
        <v>16</v>
      </c>
      <c r="Q65" s="52"/>
    </row>
    <row r="66" spans="2:35" ht="15" customHeight="1">
      <c r="B66" s="1376" t="s">
        <v>157</v>
      </c>
      <c r="C66" s="1376" t="s">
        <v>49</v>
      </c>
      <c r="D66" s="1465" t="s">
        <v>38</v>
      </c>
      <c r="E66" s="1465"/>
      <c r="F66" s="1465"/>
      <c r="G66" s="1465"/>
      <c r="H66" s="1376" t="s">
        <v>146</v>
      </c>
      <c r="I66" s="1376"/>
      <c r="J66" s="1376"/>
      <c r="K66" s="1376"/>
      <c r="L66" s="1376" t="s">
        <v>147</v>
      </c>
      <c r="M66" s="1376"/>
      <c r="N66" s="1376"/>
      <c r="O66" s="1376"/>
    </row>
    <row r="67" spans="2:35">
      <c r="B67" s="1376"/>
      <c r="C67" s="1376"/>
      <c r="D67" s="1465" t="s">
        <v>12</v>
      </c>
      <c r="E67" s="1466"/>
      <c r="F67" s="1466"/>
      <c r="G67" s="1466"/>
      <c r="H67" s="1465" t="s">
        <v>12</v>
      </c>
      <c r="I67" s="1466"/>
      <c r="J67" s="1466"/>
      <c r="K67" s="1466"/>
      <c r="L67" s="1465" t="s">
        <v>688</v>
      </c>
      <c r="M67" s="1466"/>
      <c r="N67" s="1466"/>
      <c r="O67" s="1466"/>
    </row>
    <row r="68" spans="2:35" ht="42.75">
      <c r="B68" s="1376"/>
      <c r="C68" s="1376"/>
      <c r="D68" s="365" t="s">
        <v>111</v>
      </c>
      <c r="E68" s="365" t="s">
        <v>112</v>
      </c>
      <c r="F68" s="365" t="s">
        <v>113</v>
      </c>
      <c r="G68" s="365" t="s">
        <v>114</v>
      </c>
      <c r="H68" s="365" t="s">
        <v>111</v>
      </c>
      <c r="I68" s="365" t="s">
        <v>112</v>
      </c>
      <c r="J68" s="365" t="s">
        <v>113</v>
      </c>
      <c r="K68" s="365" t="s">
        <v>114</v>
      </c>
      <c r="L68" s="365" t="s">
        <v>111</v>
      </c>
      <c r="M68" s="365" t="s">
        <v>112</v>
      </c>
      <c r="N68" s="365" t="s">
        <v>113</v>
      </c>
      <c r="O68" s="365" t="s">
        <v>114</v>
      </c>
    </row>
    <row r="69" spans="2:35">
      <c r="B69" s="73">
        <v>1</v>
      </c>
      <c r="C69" s="684" t="s">
        <v>978</v>
      </c>
      <c r="D69" s="686">
        <f>+D15-D42</f>
        <v>0.08</v>
      </c>
      <c r="E69" s="686">
        <f t="shared" ref="E69:O69" si="25">+E15-E42</f>
        <v>-2.6719999999999999E-3</v>
      </c>
      <c r="F69" s="686">
        <f t="shared" si="25"/>
        <v>0</v>
      </c>
      <c r="G69" s="686">
        <f t="shared" si="25"/>
        <v>7.7328000000000008E-2</v>
      </c>
      <c r="H69" s="686">
        <f t="shared" si="25"/>
        <v>7.7328000000000008E-2</v>
      </c>
      <c r="I69" s="686">
        <f t="shared" si="25"/>
        <v>-2.6719999999999999E-3</v>
      </c>
      <c r="J69" s="686">
        <f t="shared" si="25"/>
        <v>0</v>
      </c>
      <c r="K69" s="686">
        <f t="shared" si="25"/>
        <v>7.4656E-2</v>
      </c>
      <c r="L69" s="686">
        <f t="shared" si="25"/>
        <v>7.4656E-2</v>
      </c>
      <c r="M69" s="686">
        <f t="shared" si="25"/>
        <v>-2.6719999999999999E-3</v>
      </c>
      <c r="N69" s="686">
        <f t="shared" si="25"/>
        <v>0</v>
      </c>
      <c r="O69" s="686">
        <f t="shared" si="25"/>
        <v>7.1984000000000006E-2</v>
      </c>
    </row>
    <row r="70" spans="2:35">
      <c r="B70" s="78">
        <f>+B69+1</f>
        <v>2</v>
      </c>
      <c r="C70" s="684" t="s">
        <v>979</v>
      </c>
      <c r="D70" s="686">
        <f t="shared" ref="D70:O74" si="26">+D16-D43</f>
        <v>10.45</v>
      </c>
      <c r="E70" s="686">
        <f t="shared" si="26"/>
        <v>-0.34902999999999995</v>
      </c>
      <c r="F70" s="686">
        <f t="shared" si="26"/>
        <v>0</v>
      </c>
      <c r="G70" s="686">
        <f t="shared" si="26"/>
        <v>10.10097</v>
      </c>
      <c r="H70" s="686">
        <f t="shared" si="26"/>
        <v>10.10097</v>
      </c>
      <c r="I70" s="686">
        <f t="shared" si="26"/>
        <v>-0.34902999999999995</v>
      </c>
      <c r="J70" s="686">
        <f t="shared" si="26"/>
        <v>0</v>
      </c>
      <c r="K70" s="686">
        <f t="shared" si="26"/>
        <v>9.7519399999999994</v>
      </c>
      <c r="L70" s="686">
        <f t="shared" si="26"/>
        <v>9.7519399999999994</v>
      </c>
      <c r="M70" s="686">
        <f t="shared" si="26"/>
        <v>-0.34902999999999995</v>
      </c>
      <c r="N70" s="686">
        <f t="shared" si="26"/>
        <v>0</v>
      </c>
      <c r="O70" s="686">
        <f t="shared" si="26"/>
        <v>9.4029099999999985</v>
      </c>
    </row>
    <row r="71" spans="2:35">
      <c r="B71" s="78">
        <f t="shared" ref="B71:B75" si="27">+B70+1</f>
        <v>3</v>
      </c>
      <c r="C71" s="684" t="s">
        <v>106</v>
      </c>
      <c r="D71" s="686">
        <f t="shared" si="26"/>
        <v>32.770000000000003</v>
      </c>
      <c r="E71" s="686">
        <f t="shared" si="26"/>
        <v>5.5604898241589407</v>
      </c>
      <c r="F71" s="686">
        <f t="shared" si="26"/>
        <v>0</v>
      </c>
      <c r="G71" s="686">
        <f t="shared" si="26"/>
        <v>38.330489824158946</v>
      </c>
      <c r="H71" s="686">
        <f t="shared" si="26"/>
        <v>38.330489824158946</v>
      </c>
      <c r="I71" s="686">
        <f t="shared" si="26"/>
        <v>-1.6094148744139798</v>
      </c>
      <c r="J71" s="686">
        <f t="shared" si="26"/>
        <v>0</v>
      </c>
      <c r="K71" s="686">
        <f t="shared" si="26"/>
        <v>36.72107494974496</v>
      </c>
      <c r="L71" s="686">
        <f t="shared" si="26"/>
        <v>36.72107494974496</v>
      </c>
      <c r="M71" s="686">
        <f t="shared" si="26"/>
        <v>-1.7447297491261171</v>
      </c>
      <c r="N71" s="686">
        <f t="shared" si="26"/>
        <v>0</v>
      </c>
      <c r="O71" s="686">
        <f t="shared" si="26"/>
        <v>34.976345200618852</v>
      </c>
    </row>
    <row r="72" spans="2:35">
      <c r="B72" s="78">
        <f t="shared" si="27"/>
        <v>4</v>
      </c>
      <c r="C72" s="684" t="s">
        <v>952</v>
      </c>
      <c r="D72" s="686">
        <f t="shared" si="26"/>
        <v>0</v>
      </c>
      <c r="E72" s="686">
        <f t="shared" si="26"/>
        <v>8.0561770509762504E-3</v>
      </c>
      <c r="F72" s="686">
        <f t="shared" si="26"/>
        <v>0</v>
      </c>
      <c r="G72" s="686">
        <f t="shared" si="26"/>
        <v>8.0561770509762504E-3</v>
      </c>
      <c r="H72" s="686">
        <f t="shared" si="26"/>
        <v>8.0561770509762504E-3</v>
      </c>
      <c r="I72" s="686">
        <f t="shared" si="26"/>
        <v>-1.3064070893475E-3</v>
      </c>
      <c r="J72" s="686">
        <f t="shared" si="26"/>
        <v>0</v>
      </c>
      <c r="K72" s="686">
        <f t="shared" si="26"/>
        <v>6.7497699616287507E-3</v>
      </c>
      <c r="L72" s="686">
        <f t="shared" si="26"/>
        <v>6.7497699616287507E-3</v>
      </c>
      <c r="M72" s="686">
        <f t="shared" si="26"/>
        <v>-1.3064070893475E-3</v>
      </c>
      <c r="N72" s="686">
        <f t="shared" si="26"/>
        <v>0</v>
      </c>
      <c r="O72" s="686">
        <f t="shared" si="26"/>
        <v>5.4433628722812509E-3</v>
      </c>
    </row>
    <row r="73" spans="2:35">
      <c r="B73" s="78">
        <f t="shared" si="27"/>
        <v>5</v>
      </c>
      <c r="C73" s="684" t="s">
        <v>985</v>
      </c>
      <c r="D73" s="686">
        <f t="shared" si="26"/>
        <v>0</v>
      </c>
      <c r="E73" s="686">
        <f t="shared" si="26"/>
        <v>8.3896614125391462E-4</v>
      </c>
      <c r="F73" s="686">
        <f t="shared" si="26"/>
        <v>0</v>
      </c>
      <c r="G73" s="686">
        <f t="shared" si="26"/>
        <v>8.3896614125391462E-4</v>
      </c>
      <c r="H73" s="686">
        <f t="shared" si="26"/>
        <v>8.3896614125391462E-4</v>
      </c>
      <c r="I73" s="686">
        <f t="shared" si="26"/>
        <v>-5.4842316044170795E-5</v>
      </c>
      <c r="J73" s="686">
        <f t="shared" si="26"/>
        <v>0</v>
      </c>
      <c r="K73" s="686">
        <f t="shared" si="26"/>
        <v>7.8412382520974381E-4</v>
      </c>
      <c r="L73" s="686">
        <f t="shared" si="26"/>
        <v>7.8412382520974381E-4</v>
      </c>
      <c r="M73" s="686">
        <f t="shared" si="26"/>
        <v>-5.4842316044170795E-5</v>
      </c>
      <c r="N73" s="686">
        <f t="shared" si="26"/>
        <v>0</v>
      </c>
      <c r="O73" s="686">
        <f t="shared" si="26"/>
        <v>7.2928150916557301E-4</v>
      </c>
    </row>
    <row r="74" spans="2:35">
      <c r="B74" s="78">
        <f t="shared" si="27"/>
        <v>6</v>
      </c>
      <c r="C74" s="684" t="s">
        <v>986</v>
      </c>
      <c r="D74" s="686">
        <f t="shared" si="26"/>
        <v>0</v>
      </c>
      <c r="E74" s="686">
        <f t="shared" si="26"/>
        <v>8.804330532076407E-2</v>
      </c>
      <c r="F74" s="686">
        <f t="shared" si="26"/>
        <v>0</v>
      </c>
      <c r="G74" s="686">
        <f t="shared" si="26"/>
        <v>8.804330532076407E-2</v>
      </c>
      <c r="H74" s="686">
        <f t="shared" si="26"/>
        <v>8.804330532076407E-2</v>
      </c>
      <c r="I74" s="686">
        <f t="shared" si="26"/>
        <v>-2.7129202543374299E-2</v>
      </c>
      <c r="J74" s="686">
        <f t="shared" si="26"/>
        <v>0</v>
      </c>
      <c r="K74" s="686">
        <f t="shared" si="26"/>
        <v>6.0914102777389761E-2</v>
      </c>
      <c r="L74" s="686">
        <f t="shared" si="26"/>
        <v>6.0914102777389761E-2</v>
      </c>
      <c r="M74" s="686">
        <f t="shared" si="26"/>
        <v>-2.7129202543374299E-2</v>
      </c>
      <c r="N74" s="686">
        <f t="shared" si="26"/>
        <v>0</v>
      </c>
      <c r="O74" s="686">
        <f t="shared" si="26"/>
        <v>3.3784900234015466E-2</v>
      </c>
    </row>
    <row r="75" spans="2:35" ht="18">
      <c r="B75" s="149">
        <f t="shared" si="27"/>
        <v>7</v>
      </c>
      <c r="C75" s="90" t="s">
        <v>115</v>
      </c>
      <c r="D75" s="714">
        <f>SUM(D69:D74)</f>
        <v>43.300000000000004</v>
      </c>
      <c r="E75" s="714">
        <f t="shared" ref="E75:O75" si="28">SUM(E69:E74)</f>
        <v>5.3057262726719356</v>
      </c>
      <c r="F75" s="714">
        <f t="shared" si="28"/>
        <v>0</v>
      </c>
      <c r="G75" s="714">
        <f t="shared" si="28"/>
        <v>48.605726272671937</v>
      </c>
      <c r="H75" s="714">
        <f t="shared" si="28"/>
        <v>48.605726272671937</v>
      </c>
      <c r="I75" s="714">
        <f t="shared" si="28"/>
        <v>-1.9896073263627458</v>
      </c>
      <c r="J75" s="714">
        <f t="shared" si="28"/>
        <v>0</v>
      </c>
      <c r="K75" s="714">
        <f t="shared" si="28"/>
        <v>46.616118946309186</v>
      </c>
      <c r="L75" s="714">
        <f t="shared" si="28"/>
        <v>46.616118946309186</v>
      </c>
      <c r="M75" s="714">
        <f t="shared" si="28"/>
        <v>-2.1249222010748832</v>
      </c>
      <c r="N75" s="714">
        <f t="shared" si="28"/>
        <v>0</v>
      </c>
      <c r="O75" s="714">
        <f t="shared" si="28"/>
        <v>44.491196745234319</v>
      </c>
      <c r="P75" s="43"/>
      <c r="Q75" s="43"/>
      <c r="R75" s="43"/>
      <c r="S75" s="43"/>
      <c r="T75" s="43"/>
      <c r="U75" s="43"/>
      <c r="V75" s="43"/>
      <c r="W75" s="43"/>
      <c r="X75" s="43"/>
      <c r="Y75" s="43"/>
      <c r="Z75" s="43"/>
      <c r="AA75" s="43"/>
      <c r="AB75" s="43"/>
      <c r="AC75" s="43"/>
      <c r="AD75" s="43"/>
      <c r="AE75" s="43"/>
      <c r="AF75" s="43"/>
      <c r="AG75" s="43"/>
      <c r="AH75" s="43"/>
      <c r="AI75" s="43"/>
    </row>
    <row r="76" spans="2:35" ht="18">
      <c r="B76" s="46"/>
      <c r="C76" s="154"/>
      <c r="E76" s="10"/>
      <c r="G76" s="10"/>
      <c r="H76" s="10"/>
      <c r="P76" s="43"/>
      <c r="Q76" s="43"/>
      <c r="R76" s="43"/>
      <c r="S76" s="43"/>
      <c r="T76" s="43"/>
      <c r="U76" s="43"/>
      <c r="V76" s="43"/>
      <c r="W76" s="43"/>
      <c r="X76" s="43"/>
      <c r="Y76" s="43"/>
      <c r="Z76" s="43"/>
      <c r="AA76" s="43"/>
      <c r="AB76" s="43"/>
      <c r="AC76" s="43"/>
      <c r="AD76" s="43"/>
      <c r="AE76" s="43"/>
      <c r="AF76" s="43"/>
      <c r="AG76" s="43"/>
      <c r="AH76" s="43"/>
      <c r="AI76" s="43"/>
    </row>
    <row r="77" spans="2:35" ht="15" customHeight="1">
      <c r="B77" s="46"/>
      <c r="C77" s="154"/>
      <c r="E77" s="10"/>
      <c r="G77" s="10"/>
      <c r="H77" s="10"/>
      <c r="K77" s="52" t="s">
        <v>16</v>
      </c>
      <c r="O77" s="378"/>
    </row>
    <row r="78" spans="2:35">
      <c r="B78" s="1376" t="s">
        <v>157</v>
      </c>
      <c r="C78" s="1376" t="s">
        <v>49</v>
      </c>
      <c r="D78" s="1376" t="s">
        <v>148</v>
      </c>
      <c r="E78" s="1376"/>
      <c r="F78" s="1376"/>
      <c r="G78" s="1376"/>
      <c r="H78" s="1376" t="s">
        <v>149</v>
      </c>
      <c r="I78" s="1376"/>
      <c r="J78" s="1376"/>
      <c r="K78" s="1376"/>
      <c r="L78" s="1467"/>
      <c r="M78" s="1467"/>
      <c r="N78" s="1467"/>
      <c r="O78" s="1467"/>
    </row>
    <row r="79" spans="2:35">
      <c r="B79" s="1376"/>
      <c r="C79" s="1376"/>
      <c r="D79" s="1465" t="s">
        <v>689</v>
      </c>
      <c r="E79" s="1466"/>
      <c r="F79" s="1466"/>
      <c r="G79" s="1466"/>
      <c r="H79" s="1465" t="s">
        <v>689</v>
      </c>
      <c r="I79" s="1466"/>
      <c r="J79" s="1466"/>
      <c r="K79" s="1466"/>
      <c r="L79" s="1468"/>
      <c r="M79" s="1469"/>
      <c r="N79" s="1469"/>
      <c r="O79" s="1469"/>
    </row>
    <row r="80" spans="2:35" ht="42.75">
      <c r="B80" s="1376"/>
      <c r="C80" s="1376"/>
      <c r="D80" s="365" t="s">
        <v>111</v>
      </c>
      <c r="E80" s="365" t="s">
        <v>112</v>
      </c>
      <c r="F80" s="365" t="s">
        <v>113</v>
      </c>
      <c r="G80" s="365" t="s">
        <v>114</v>
      </c>
      <c r="H80" s="365" t="s">
        <v>111</v>
      </c>
      <c r="I80" s="365" t="s">
        <v>112</v>
      </c>
      <c r="J80" s="365" t="s">
        <v>113</v>
      </c>
      <c r="K80" s="365" t="s">
        <v>114</v>
      </c>
      <c r="L80" s="379"/>
      <c r="M80" s="379"/>
      <c r="N80" s="379"/>
      <c r="O80" s="379"/>
    </row>
    <row r="81" spans="2:15">
      <c r="B81" s="73">
        <v>1</v>
      </c>
      <c r="C81" s="684" t="s">
        <v>978</v>
      </c>
      <c r="D81" s="686">
        <f>+D27-D54</f>
        <v>7.1984000000000006E-2</v>
      </c>
      <c r="E81" s="686">
        <f>+E27-E54</f>
        <v>-2.6719999999999999E-3</v>
      </c>
      <c r="F81" s="686">
        <f t="shared" ref="F81:K81" si="29">+F27-F54</f>
        <v>0</v>
      </c>
      <c r="G81" s="686">
        <f t="shared" si="29"/>
        <v>6.9311999999999999E-2</v>
      </c>
      <c r="H81" s="686">
        <f t="shared" si="29"/>
        <v>6.9311999999999999E-2</v>
      </c>
      <c r="I81" s="686">
        <f t="shared" si="29"/>
        <v>-2.6719999999999999E-3</v>
      </c>
      <c r="J81" s="686">
        <f t="shared" si="29"/>
        <v>0</v>
      </c>
      <c r="K81" s="686">
        <f t="shared" si="29"/>
        <v>6.6640000000000005E-2</v>
      </c>
      <c r="L81" s="380"/>
      <c r="M81" s="380"/>
      <c r="N81" s="380"/>
      <c r="O81" s="380"/>
    </row>
    <row r="82" spans="2:15">
      <c r="B82" s="78">
        <f>+B81+1</f>
        <v>2</v>
      </c>
      <c r="C82" s="684" t="s">
        <v>979</v>
      </c>
      <c r="D82" s="686">
        <f t="shared" ref="D82:K82" si="30">+D28-D55</f>
        <v>9.4029099999999985</v>
      </c>
      <c r="E82" s="686">
        <f t="shared" si="30"/>
        <v>-0.34902999999999995</v>
      </c>
      <c r="F82" s="686">
        <f t="shared" si="30"/>
        <v>0</v>
      </c>
      <c r="G82" s="686">
        <f t="shared" si="30"/>
        <v>9.0538799999999995</v>
      </c>
      <c r="H82" s="686">
        <f t="shared" si="30"/>
        <v>9.0538799999999995</v>
      </c>
      <c r="I82" s="686">
        <f t="shared" si="30"/>
        <v>-0.34902999999999995</v>
      </c>
      <c r="J82" s="686">
        <f t="shared" si="30"/>
        <v>0</v>
      </c>
      <c r="K82" s="686">
        <f t="shared" si="30"/>
        <v>8.7048500000000004</v>
      </c>
      <c r="L82" s="16"/>
      <c r="M82" s="16"/>
      <c r="N82" s="16"/>
      <c r="O82" s="16"/>
    </row>
    <row r="83" spans="2:15">
      <c r="B83" s="78">
        <f t="shared" ref="B83:B87" si="31">+B82+1</f>
        <v>3</v>
      </c>
      <c r="C83" s="684" t="s">
        <v>106</v>
      </c>
      <c r="D83" s="686">
        <f t="shared" ref="D83:K83" si="32">+D29-D56</f>
        <v>34.976345200618852</v>
      </c>
      <c r="E83" s="686">
        <f>+E29-E56</f>
        <v>-1.2995777491261169</v>
      </c>
      <c r="F83" s="686">
        <f t="shared" si="32"/>
        <v>0</v>
      </c>
      <c r="G83" s="686">
        <f t="shared" si="32"/>
        <v>33.676767451492729</v>
      </c>
      <c r="H83" s="686">
        <f t="shared" si="32"/>
        <v>33.676767451492729</v>
      </c>
      <c r="I83" s="686">
        <f t="shared" si="32"/>
        <v>-1.3470977491261169</v>
      </c>
      <c r="J83" s="686">
        <f t="shared" si="32"/>
        <v>0</v>
      </c>
      <c r="K83" s="686">
        <f t="shared" si="32"/>
        <v>32.329669702366616</v>
      </c>
      <c r="L83" s="16"/>
      <c r="M83" s="16"/>
      <c r="N83" s="16"/>
      <c r="O83" s="16"/>
    </row>
    <row r="84" spans="2:15">
      <c r="B84" s="78">
        <f t="shared" si="31"/>
        <v>4</v>
      </c>
      <c r="C84" s="684" t="s">
        <v>952</v>
      </c>
      <c r="D84" s="686">
        <f t="shared" ref="D84:K84" si="33">+D30-D57</f>
        <v>5.4433628722812509E-3</v>
      </c>
      <c r="E84" s="686">
        <f t="shared" si="33"/>
        <v>-1.3064070893475E-3</v>
      </c>
      <c r="F84" s="686">
        <f t="shared" si="33"/>
        <v>0</v>
      </c>
      <c r="G84" s="686">
        <f t="shared" si="33"/>
        <v>4.1369557829337511E-3</v>
      </c>
      <c r="H84" s="686">
        <f t="shared" si="33"/>
        <v>4.1369557829337511E-3</v>
      </c>
      <c r="I84" s="686">
        <f t="shared" si="33"/>
        <v>-1.3064070893475E-3</v>
      </c>
      <c r="J84" s="686">
        <f t="shared" si="33"/>
        <v>0</v>
      </c>
      <c r="K84" s="686">
        <f t="shared" si="33"/>
        <v>2.8305486935862514E-3</v>
      </c>
      <c r="L84" s="16"/>
      <c r="M84" s="16"/>
      <c r="N84" s="16"/>
      <c r="O84" s="16"/>
    </row>
    <row r="85" spans="2:15">
      <c r="B85" s="78">
        <f t="shared" si="31"/>
        <v>5</v>
      </c>
      <c r="C85" s="684" t="s">
        <v>985</v>
      </c>
      <c r="D85" s="686">
        <f t="shared" ref="D85:K85" si="34">+D31-D58</f>
        <v>7.2928150916557301E-4</v>
      </c>
      <c r="E85" s="686">
        <f t="shared" si="34"/>
        <v>-5.4842316044170795E-5</v>
      </c>
      <c r="F85" s="686">
        <f t="shared" si="34"/>
        <v>0</v>
      </c>
      <c r="G85" s="686">
        <f t="shared" si="34"/>
        <v>6.7443919312140221E-4</v>
      </c>
      <c r="H85" s="686">
        <f t="shared" si="34"/>
        <v>6.7443919312140221E-4</v>
      </c>
      <c r="I85" s="686">
        <f t="shared" si="34"/>
        <v>-5.4842316044170795E-5</v>
      </c>
      <c r="J85" s="686">
        <f t="shared" si="34"/>
        <v>0</v>
      </c>
      <c r="K85" s="686">
        <f t="shared" si="34"/>
        <v>6.1959687707723141E-4</v>
      </c>
      <c r="L85" s="16"/>
      <c r="M85" s="16"/>
      <c r="N85" s="16"/>
      <c r="O85" s="16"/>
    </row>
    <row r="86" spans="2:15">
      <c r="B86" s="78">
        <f t="shared" si="31"/>
        <v>6</v>
      </c>
      <c r="C86" s="684" t="s">
        <v>986</v>
      </c>
      <c r="D86" s="686">
        <f t="shared" ref="D86:K86" si="35">+D32-D59</f>
        <v>3.3784900234015466E-2</v>
      </c>
      <c r="E86" s="686">
        <f t="shared" si="35"/>
        <v>-2.7129202543374299E-2</v>
      </c>
      <c r="F86" s="686">
        <f t="shared" si="35"/>
        <v>0</v>
      </c>
      <c r="G86" s="686">
        <f t="shared" si="35"/>
        <v>6.6556976906411713E-3</v>
      </c>
      <c r="H86" s="686">
        <f t="shared" si="35"/>
        <v>6.6556976906411713E-3</v>
      </c>
      <c r="I86" s="686">
        <f t="shared" si="35"/>
        <v>-2.7129202543374299E-2</v>
      </c>
      <c r="J86" s="686">
        <f t="shared" si="35"/>
        <v>0</v>
      </c>
      <c r="K86" s="686">
        <f t="shared" si="35"/>
        <v>-2.0473504852733124E-2</v>
      </c>
      <c r="L86" s="16"/>
      <c r="M86" s="16"/>
      <c r="N86" s="16"/>
      <c r="O86" s="16"/>
    </row>
    <row r="87" spans="2:15" ht="18">
      <c r="B87" s="149">
        <f t="shared" si="31"/>
        <v>7</v>
      </c>
      <c r="C87" s="90" t="s">
        <v>115</v>
      </c>
      <c r="D87" s="714">
        <f>SUM(D81:D86)</f>
        <v>44.491196745234319</v>
      </c>
      <c r="E87" s="714">
        <f>SUM(E81:E86)</f>
        <v>-1.679770201074883</v>
      </c>
      <c r="F87" s="714">
        <f>SUM(F81:F86)</f>
        <v>0</v>
      </c>
      <c r="G87" s="714">
        <f>SUM(G81:G86)</f>
        <v>42.811426544159417</v>
      </c>
      <c r="H87" s="714">
        <f t="shared" ref="H87:K87" si="36">SUM(H81:H86)</f>
        <v>42.811426544159417</v>
      </c>
      <c r="I87" s="714">
        <f t="shared" si="36"/>
        <v>-1.727290201074883</v>
      </c>
      <c r="J87" s="714">
        <f t="shared" si="36"/>
        <v>0</v>
      </c>
      <c r="K87" s="714">
        <f t="shared" si="36"/>
        <v>41.084136343084552</v>
      </c>
      <c r="L87" s="381"/>
      <c r="M87" s="381"/>
      <c r="N87" s="381"/>
      <c r="O87" s="381"/>
    </row>
  </sheetData>
  <mergeCells count="48">
    <mergeCell ref="D78:G78"/>
    <mergeCell ref="H78:K78"/>
    <mergeCell ref="L78:O78"/>
    <mergeCell ref="B78:B80"/>
    <mergeCell ref="C78:C80"/>
    <mergeCell ref="D79:G79"/>
    <mergeCell ref="H79:K79"/>
    <mergeCell ref="L79:O79"/>
    <mergeCell ref="B66:B68"/>
    <mergeCell ref="C66:C68"/>
    <mergeCell ref="D66:G66"/>
    <mergeCell ref="H66:K66"/>
    <mergeCell ref="L66:O66"/>
    <mergeCell ref="D67:G67"/>
    <mergeCell ref="H67:K67"/>
    <mergeCell ref="L67:O67"/>
    <mergeCell ref="D51:G51"/>
    <mergeCell ref="H51:K51"/>
    <mergeCell ref="L51:O51"/>
    <mergeCell ref="B51:B53"/>
    <mergeCell ref="C51:C53"/>
    <mergeCell ref="D52:G52"/>
    <mergeCell ref="H52:K52"/>
    <mergeCell ref="L52:O52"/>
    <mergeCell ref="B39:B41"/>
    <mergeCell ref="C39:C41"/>
    <mergeCell ref="D39:G39"/>
    <mergeCell ref="H39:K39"/>
    <mergeCell ref="L39:O39"/>
    <mergeCell ref="D40:G40"/>
    <mergeCell ref="H40:K40"/>
    <mergeCell ref="L40:O40"/>
    <mergeCell ref="B24:B26"/>
    <mergeCell ref="C24:C26"/>
    <mergeCell ref="D24:G24"/>
    <mergeCell ref="H24:K24"/>
    <mergeCell ref="L24:O24"/>
    <mergeCell ref="D25:G25"/>
    <mergeCell ref="H25:K25"/>
    <mergeCell ref="L25:O25"/>
    <mergeCell ref="B12:B14"/>
    <mergeCell ref="C12:C14"/>
    <mergeCell ref="D12:G12"/>
    <mergeCell ref="H12:K12"/>
    <mergeCell ref="L12:O12"/>
    <mergeCell ref="D13:G13"/>
    <mergeCell ref="H13:K13"/>
    <mergeCell ref="L13:O13"/>
  </mergeCells>
  <pageMargins left="0.27559055118110237" right="0.23622047244094491" top="0.23622047244094491" bottom="0.23622047244094491" header="0.23622047244094491" footer="0.23622047244094491"/>
  <pageSetup paperSize="9" scale="51" fitToHeight="2" orientation="landscape" r:id="rId1"/>
  <headerFooter alignWithMargins="0"/>
  <rowBreaks count="1" manualBreakCount="1">
    <brk id="62" max="14"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C000"/>
  </sheetPr>
  <dimension ref="A1:AI87"/>
  <sheetViews>
    <sheetView showGridLines="0" view="pageBreakPreview" topLeftCell="B43" zoomScale="106" zoomScaleNormal="68" zoomScaleSheetLayoutView="106" workbookViewId="0">
      <selection activeCell="C11" sqref="C11:C12"/>
    </sheetView>
  </sheetViews>
  <sheetFormatPr defaultColWidth="9.140625" defaultRowHeight="15"/>
  <cols>
    <col min="1" max="1" width="4.140625" style="155" customWidth="1"/>
    <col min="2" max="2" width="6.28515625" style="155" customWidth="1"/>
    <col min="3" max="3" width="36.140625" style="155" customWidth="1"/>
    <col min="4" max="4" width="18.7109375" style="155" customWidth="1"/>
    <col min="5" max="5" width="20.7109375" style="155" customWidth="1"/>
    <col min="6" max="24" width="18.7109375" style="155" customWidth="1"/>
    <col min="25" max="16384" width="9.140625" style="155"/>
  </cols>
  <sheetData>
    <row r="1" spans="1:20">
      <c r="B1" s="46"/>
    </row>
    <row r="2" spans="1:20">
      <c r="B2" s="154"/>
      <c r="D2" s="22"/>
      <c r="E2" s="22"/>
      <c r="G2" s="22"/>
      <c r="H2" s="742" t="s">
        <v>906</v>
      </c>
      <c r="I2" s="22"/>
      <c r="J2" s="22"/>
      <c r="K2" s="22"/>
      <c r="L2" s="22"/>
      <c r="M2" s="22"/>
      <c r="N2" s="22"/>
      <c r="O2" s="22"/>
      <c r="P2" s="22"/>
      <c r="Q2" s="22"/>
      <c r="R2" s="22"/>
      <c r="S2" s="22"/>
      <c r="T2" s="22"/>
    </row>
    <row r="3" spans="1:20">
      <c r="B3" s="154"/>
      <c r="D3" s="54"/>
      <c r="E3" s="54"/>
      <c r="G3" s="54"/>
      <c r="H3" s="373" t="s">
        <v>724</v>
      </c>
      <c r="I3" s="54"/>
      <c r="J3" s="54"/>
      <c r="K3" s="54"/>
      <c r="L3" s="54"/>
      <c r="M3" s="54"/>
      <c r="N3" s="54"/>
      <c r="O3" s="54"/>
      <c r="P3" s="54"/>
      <c r="Q3" s="22"/>
      <c r="R3" s="22"/>
      <c r="S3" s="22"/>
      <c r="T3" s="22"/>
    </row>
    <row r="4" spans="1:20">
      <c r="B4" s="22"/>
      <c r="D4" s="55"/>
      <c r="E4" s="56"/>
      <c r="G4" s="56"/>
      <c r="H4" s="62" t="s">
        <v>544</v>
      </c>
      <c r="I4" s="22"/>
      <c r="J4" s="22"/>
      <c r="K4" s="22"/>
      <c r="L4" s="22"/>
      <c r="M4" s="22"/>
      <c r="N4" s="22"/>
      <c r="O4" s="22"/>
      <c r="P4" s="22"/>
      <c r="Q4" s="22"/>
      <c r="R4" s="22"/>
      <c r="S4" s="22"/>
      <c r="T4" s="22"/>
    </row>
    <row r="5" spans="1:20">
      <c r="C5" s="46"/>
      <c r="E5" s="10"/>
      <c r="G5" s="10"/>
      <c r="H5" s="10"/>
    </row>
    <row r="6" spans="1:20">
      <c r="C6" s="46"/>
      <c r="E6" s="10"/>
      <c r="G6" s="10"/>
      <c r="H6" s="10"/>
    </row>
    <row r="7" spans="1:20">
      <c r="C7" s="46" t="s">
        <v>318</v>
      </c>
      <c r="E7" s="10"/>
      <c r="G7" s="10"/>
      <c r="H7" s="10"/>
    </row>
    <row r="8" spans="1:20">
      <c r="C8" s="46"/>
      <c r="E8" s="10"/>
      <c r="G8" s="10"/>
      <c r="H8" s="10"/>
    </row>
    <row r="9" spans="1:20">
      <c r="C9" s="46"/>
      <c r="E9" s="10"/>
      <c r="G9" s="10"/>
      <c r="H9" s="10"/>
    </row>
    <row r="10" spans="1:20">
      <c r="A10" s="155" t="s">
        <v>109</v>
      </c>
      <c r="B10" s="46" t="s">
        <v>110</v>
      </c>
      <c r="C10" s="46"/>
      <c r="E10" s="10"/>
      <c r="G10" s="10"/>
      <c r="H10" s="10"/>
    </row>
    <row r="11" spans="1:20">
      <c r="B11" s="57"/>
      <c r="C11" s="154"/>
      <c r="E11" s="10"/>
      <c r="G11" s="10"/>
      <c r="H11" s="10"/>
      <c r="O11" s="52" t="s">
        <v>16</v>
      </c>
    </row>
    <row r="12" spans="1:20" ht="15.75" customHeight="1">
      <c r="B12" s="1376" t="s">
        <v>157</v>
      </c>
      <c r="C12" s="1376" t="s">
        <v>49</v>
      </c>
      <c r="D12" s="1465" t="s">
        <v>38</v>
      </c>
      <c r="E12" s="1465"/>
      <c r="F12" s="1465"/>
      <c r="G12" s="1465"/>
      <c r="H12" s="1376" t="s">
        <v>146</v>
      </c>
      <c r="I12" s="1376"/>
      <c r="J12" s="1376"/>
      <c r="K12" s="1376"/>
      <c r="L12" s="1376" t="s">
        <v>147</v>
      </c>
      <c r="M12" s="1376"/>
      <c r="N12" s="1376"/>
      <c r="O12" s="1376"/>
    </row>
    <row r="13" spans="1:20" ht="15.75" customHeight="1">
      <c r="B13" s="1376"/>
      <c r="C13" s="1376"/>
      <c r="D13" s="1465" t="s">
        <v>12</v>
      </c>
      <c r="E13" s="1466"/>
      <c r="F13" s="1466"/>
      <c r="G13" s="1466"/>
      <c r="H13" s="1465" t="s">
        <v>12</v>
      </c>
      <c r="I13" s="1466"/>
      <c r="J13" s="1466"/>
      <c r="K13" s="1466"/>
      <c r="L13" s="1465" t="s">
        <v>688</v>
      </c>
      <c r="M13" s="1466"/>
      <c r="N13" s="1466"/>
      <c r="O13" s="1466"/>
    </row>
    <row r="14" spans="1:20" s="38" customFormat="1" ht="42.75">
      <c r="B14" s="1376"/>
      <c r="C14" s="1376"/>
      <c r="D14" s="365" t="s">
        <v>111</v>
      </c>
      <c r="E14" s="365" t="s">
        <v>112</v>
      </c>
      <c r="F14" s="365" t="s">
        <v>113</v>
      </c>
      <c r="G14" s="365" t="s">
        <v>114</v>
      </c>
      <c r="H14" s="365" t="s">
        <v>111</v>
      </c>
      <c r="I14" s="365" t="s">
        <v>112</v>
      </c>
      <c r="J14" s="365" t="s">
        <v>113</v>
      </c>
      <c r="K14" s="365" t="s">
        <v>114</v>
      </c>
      <c r="L14" s="365" t="s">
        <v>111</v>
      </c>
      <c r="M14" s="365" t="s">
        <v>112</v>
      </c>
      <c r="N14" s="365" t="s">
        <v>113</v>
      </c>
      <c r="O14" s="365" t="s">
        <v>114</v>
      </c>
    </row>
    <row r="15" spans="1:20" s="39" customFormat="1">
      <c r="B15" s="73">
        <v>1</v>
      </c>
      <c r="C15" s="684" t="s">
        <v>978</v>
      </c>
      <c r="D15" s="686">
        <v>0</v>
      </c>
      <c r="E15" s="686">
        <v>0</v>
      </c>
      <c r="F15" s="686">
        <v>0</v>
      </c>
      <c r="G15" s="686">
        <f t="shared" ref="G15:G20" si="0">D15+E15-F15</f>
        <v>0</v>
      </c>
      <c r="H15" s="686">
        <f t="shared" ref="H15:H20" si="1">G15</f>
        <v>0</v>
      </c>
      <c r="I15" s="686">
        <v>0</v>
      </c>
      <c r="J15" s="686">
        <v>0</v>
      </c>
      <c r="K15" s="686">
        <f>H15+I15-J15</f>
        <v>0</v>
      </c>
      <c r="L15" s="686">
        <f>K15</f>
        <v>0</v>
      </c>
      <c r="M15" s="686">
        <v>0</v>
      </c>
      <c r="N15" s="686">
        <v>0</v>
      </c>
      <c r="O15" s="686">
        <f>L15+M15-N15</f>
        <v>0</v>
      </c>
    </row>
    <row r="16" spans="1:20" s="10" customFormat="1">
      <c r="B16" s="78">
        <f>+B15+1</f>
        <v>2</v>
      </c>
      <c r="C16" s="684" t="s">
        <v>979</v>
      </c>
      <c r="D16" s="1167">
        <v>0</v>
      </c>
      <c r="E16" s="698">
        <v>0</v>
      </c>
      <c r="F16" s="1167">
        <v>0</v>
      </c>
      <c r="G16" s="1167">
        <f t="shared" si="0"/>
        <v>0</v>
      </c>
      <c r="H16" s="1167">
        <f t="shared" si="1"/>
        <v>0</v>
      </c>
      <c r="I16" s="1167">
        <v>0</v>
      </c>
      <c r="J16" s="1167">
        <v>0</v>
      </c>
      <c r="K16" s="1167">
        <f t="shared" ref="K16:K20" si="2">H16+I16-J16</f>
        <v>0</v>
      </c>
      <c r="L16" s="1167">
        <f t="shared" ref="L16:L20" si="3">K16</f>
        <v>0</v>
      </c>
      <c r="M16" s="1167">
        <v>0</v>
      </c>
      <c r="N16" s="1167">
        <v>0</v>
      </c>
      <c r="O16" s="1167">
        <f t="shared" ref="O16:O20" si="4">L16+M16-N16</f>
        <v>0</v>
      </c>
    </row>
    <row r="17" spans="2:19" s="10" customFormat="1">
      <c r="B17" s="78">
        <f t="shared" ref="B17:B21" si="5">+B16+1</f>
        <v>3</v>
      </c>
      <c r="C17" s="684" t="s">
        <v>106</v>
      </c>
      <c r="D17" s="698">
        <v>1.42</v>
      </c>
      <c r="E17" s="698">
        <f>77340200*ASSUM!$C$92/10^7</f>
        <v>0.24557934248260013</v>
      </c>
      <c r="F17" s="1167">
        <v>0</v>
      </c>
      <c r="G17" s="1167">
        <f t="shared" si="0"/>
        <v>1.6655793424826</v>
      </c>
      <c r="H17" s="1167">
        <f t="shared" si="1"/>
        <v>1.6655793424826</v>
      </c>
      <c r="I17" s="698">
        <f>+I21</f>
        <v>1.738856649246201E-2</v>
      </c>
      <c r="J17" s="1167">
        <v>0</v>
      </c>
      <c r="K17" s="1167">
        <f t="shared" si="2"/>
        <v>1.682967908975062</v>
      </c>
      <c r="L17" s="1167">
        <f t="shared" si="3"/>
        <v>1.682967908975062</v>
      </c>
      <c r="M17" s="1167">
        <f>+M21</f>
        <v>0</v>
      </c>
      <c r="N17" s="1167">
        <v>0</v>
      </c>
      <c r="O17" s="1167">
        <f t="shared" si="4"/>
        <v>1.682967908975062</v>
      </c>
    </row>
    <row r="18" spans="2:19" s="10" customFormat="1">
      <c r="B18" s="78">
        <f t="shared" si="5"/>
        <v>4</v>
      </c>
      <c r="C18" s="684" t="s">
        <v>952</v>
      </c>
      <c r="D18" s="1167">
        <v>0</v>
      </c>
      <c r="E18" s="698">
        <f>89950*ASSUM!$C$92/10^7</f>
        <v>2.8561940435000013E-4</v>
      </c>
      <c r="F18" s="1167">
        <v>0</v>
      </c>
      <c r="G18" s="1167">
        <f t="shared" si="0"/>
        <v>2.8561940435000013E-4</v>
      </c>
      <c r="H18" s="1167">
        <f t="shared" si="1"/>
        <v>2.8561940435000013E-4</v>
      </c>
      <c r="I18" s="1167">
        <v>0</v>
      </c>
      <c r="J18" s="1167">
        <v>0</v>
      </c>
      <c r="K18" s="1167">
        <f t="shared" si="2"/>
        <v>2.8561940435000013E-4</v>
      </c>
      <c r="L18" s="1167">
        <f t="shared" si="3"/>
        <v>2.8561940435000013E-4</v>
      </c>
      <c r="M18" s="1167">
        <v>0</v>
      </c>
      <c r="N18" s="1167">
        <v>0</v>
      </c>
      <c r="O18" s="1167">
        <f t="shared" si="4"/>
        <v>2.8561940435000013E-4</v>
      </c>
    </row>
    <row r="19" spans="2:19">
      <c r="B19" s="78">
        <f t="shared" si="5"/>
        <v>5</v>
      </c>
      <c r="C19" s="684" t="s">
        <v>985</v>
      </c>
      <c r="D19" s="1167">
        <v>0</v>
      </c>
      <c r="E19" s="698">
        <f>8948*ASSUM!$C$92/10^7</f>
        <v>2.8412700724000019E-5</v>
      </c>
      <c r="F19" s="1167">
        <v>0</v>
      </c>
      <c r="G19" s="1167">
        <f t="shared" si="0"/>
        <v>2.8412700724000019E-5</v>
      </c>
      <c r="H19" s="1167">
        <f t="shared" si="1"/>
        <v>2.8412700724000019E-5</v>
      </c>
      <c r="I19" s="1167">
        <v>0</v>
      </c>
      <c r="J19" s="1167">
        <v>0</v>
      </c>
      <c r="K19" s="1167">
        <f t="shared" si="2"/>
        <v>2.8412700724000019E-5</v>
      </c>
      <c r="L19" s="1167">
        <f t="shared" si="3"/>
        <v>2.8412700724000019E-5</v>
      </c>
      <c r="M19" s="1167">
        <v>0</v>
      </c>
      <c r="N19" s="1167">
        <v>0</v>
      </c>
      <c r="O19" s="1167">
        <f t="shared" si="4"/>
        <v>2.8412700724000019E-5</v>
      </c>
    </row>
    <row r="20" spans="2:19">
      <c r="B20" s="78">
        <f t="shared" si="5"/>
        <v>6</v>
      </c>
      <c r="C20" s="684" t="s">
        <v>986</v>
      </c>
      <c r="D20" s="1167">
        <v>0</v>
      </c>
      <c r="E20" s="698">
        <f>933963*ASSUM!$C$92/10^7</f>
        <v>2.9656248554190017E-3</v>
      </c>
      <c r="F20" s="1167">
        <v>0</v>
      </c>
      <c r="G20" s="1167">
        <f t="shared" si="0"/>
        <v>2.9656248554190017E-3</v>
      </c>
      <c r="H20" s="1167">
        <f t="shared" si="1"/>
        <v>2.9656248554190017E-3</v>
      </c>
      <c r="I20" s="1167">
        <v>0</v>
      </c>
      <c r="J20" s="1167">
        <v>0</v>
      </c>
      <c r="K20" s="1167">
        <f t="shared" si="2"/>
        <v>2.9656248554190017E-3</v>
      </c>
      <c r="L20" s="1167">
        <f t="shared" si="3"/>
        <v>2.9656248554190017E-3</v>
      </c>
      <c r="M20" s="1167">
        <v>0</v>
      </c>
      <c r="N20" s="1167">
        <v>0</v>
      </c>
      <c r="O20" s="1167">
        <f t="shared" si="4"/>
        <v>2.9656248554190017E-3</v>
      </c>
    </row>
    <row r="21" spans="2:19" s="1" customFormat="1">
      <c r="B21" s="149">
        <f t="shared" si="5"/>
        <v>7</v>
      </c>
      <c r="C21" s="711" t="s">
        <v>115</v>
      </c>
      <c r="D21" s="831">
        <f>SUM(D15:D20)</f>
        <v>1.42</v>
      </c>
      <c r="E21" s="831">
        <f>SUM(E15:E20)</f>
        <v>0.24885899944309317</v>
      </c>
      <c r="F21" s="831">
        <f t="shared" ref="F21:O21" si="6">SUM(F15:F20)</f>
        <v>0</v>
      </c>
      <c r="G21" s="831">
        <f>SUM(G15:G20)</f>
        <v>1.6688589994430929</v>
      </c>
      <c r="H21" s="831">
        <f t="shared" si="6"/>
        <v>1.6688589994430929</v>
      </c>
      <c r="I21" s="831">
        <f>+'F4'!H30</f>
        <v>1.738856649246201E-2</v>
      </c>
      <c r="J21" s="831">
        <f t="shared" si="6"/>
        <v>0</v>
      </c>
      <c r="K21" s="831">
        <f t="shared" si="6"/>
        <v>1.6862475659355549</v>
      </c>
      <c r="L21" s="831">
        <f t="shared" si="6"/>
        <v>1.6862475659355549</v>
      </c>
      <c r="M21" s="831">
        <f>+'F4'!M30</f>
        <v>0</v>
      </c>
      <c r="N21" s="831">
        <f t="shared" si="6"/>
        <v>0</v>
      </c>
      <c r="O21" s="831">
        <f t="shared" si="6"/>
        <v>1.6862475659355549</v>
      </c>
    </row>
    <row r="22" spans="2:19">
      <c r="B22" s="46"/>
      <c r="C22" s="154"/>
      <c r="E22" s="10"/>
      <c r="G22" s="10"/>
      <c r="H22" s="10"/>
      <c r="R22" s="52"/>
      <c r="S22" s="52"/>
    </row>
    <row r="23" spans="2:19">
      <c r="B23" s="46"/>
      <c r="C23" s="154"/>
      <c r="E23" s="10"/>
      <c r="G23" s="10"/>
      <c r="H23" s="10"/>
      <c r="K23" s="52" t="s">
        <v>16</v>
      </c>
      <c r="O23" s="378"/>
      <c r="R23" s="52"/>
    </row>
    <row r="24" spans="2:19" ht="15.75" customHeight="1">
      <c r="B24" s="1376" t="s">
        <v>157</v>
      </c>
      <c r="C24" s="1376" t="s">
        <v>49</v>
      </c>
      <c r="D24" s="1376" t="s">
        <v>148</v>
      </c>
      <c r="E24" s="1376"/>
      <c r="F24" s="1376"/>
      <c r="G24" s="1376"/>
      <c r="H24" s="1376" t="s">
        <v>149</v>
      </c>
      <c r="I24" s="1376"/>
      <c r="J24" s="1376"/>
      <c r="K24" s="1376"/>
      <c r="L24" s="1467"/>
      <c r="M24" s="1467"/>
      <c r="N24" s="1467"/>
      <c r="O24" s="1467"/>
    </row>
    <row r="25" spans="2:19" ht="15.75" customHeight="1">
      <c r="B25" s="1376"/>
      <c r="C25" s="1376"/>
      <c r="D25" s="1465" t="s">
        <v>689</v>
      </c>
      <c r="E25" s="1466"/>
      <c r="F25" s="1466"/>
      <c r="G25" s="1466"/>
      <c r="H25" s="1465" t="s">
        <v>689</v>
      </c>
      <c r="I25" s="1466"/>
      <c r="J25" s="1466"/>
      <c r="K25" s="1466"/>
      <c r="L25" s="1468"/>
      <c r="M25" s="1469"/>
      <c r="N25" s="1469"/>
      <c r="O25" s="1469"/>
    </row>
    <row r="26" spans="2:19" s="38" customFormat="1" ht="42.75">
      <c r="B26" s="1376"/>
      <c r="C26" s="1376"/>
      <c r="D26" s="365" t="s">
        <v>111</v>
      </c>
      <c r="E26" s="365" t="s">
        <v>112</v>
      </c>
      <c r="F26" s="365" t="s">
        <v>113</v>
      </c>
      <c r="G26" s="365" t="s">
        <v>114</v>
      </c>
      <c r="H26" s="365" t="s">
        <v>111</v>
      </c>
      <c r="I26" s="365" t="s">
        <v>112</v>
      </c>
      <c r="J26" s="365" t="s">
        <v>113</v>
      </c>
      <c r="K26" s="365" t="s">
        <v>114</v>
      </c>
      <c r="L26" s="379"/>
      <c r="M26" s="379"/>
      <c r="N26" s="379"/>
      <c r="O26" s="379"/>
    </row>
    <row r="27" spans="2:19" s="39" customFormat="1">
      <c r="B27" s="73">
        <v>1</v>
      </c>
      <c r="C27" s="684" t="s">
        <v>978</v>
      </c>
      <c r="D27" s="686">
        <f t="shared" ref="D27:D32" si="7">O15</f>
        <v>0</v>
      </c>
      <c r="E27" s="686">
        <v>0</v>
      </c>
      <c r="F27" s="686">
        <v>0</v>
      </c>
      <c r="G27" s="686">
        <f>D27+E27-F27</f>
        <v>0</v>
      </c>
      <c r="H27" s="686">
        <f>G27</f>
        <v>0</v>
      </c>
      <c r="I27" s="686">
        <v>0</v>
      </c>
      <c r="J27" s="686">
        <v>0</v>
      </c>
      <c r="K27" s="686">
        <f>H27+I27-J27</f>
        <v>0</v>
      </c>
      <c r="L27" s="380"/>
      <c r="M27" s="380"/>
      <c r="N27" s="380"/>
      <c r="O27" s="380"/>
    </row>
    <row r="28" spans="2:19" s="10" customFormat="1">
      <c r="B28" s="78">
        <f>+B27+1</f>
        <v>2</v>
      </c>
      <c r="C28" s="684" t="s">
        <v>979</v>
      </c>
      <c r="D28" s="686">
        <f t="shared" si="7"/>
        <v>0</v>
      </c>
      <c r="E28" s="1167">
        <v>0</v>
      </c>
      <c r="F28" s="1167">
        <v>0</v>
      </c>
      <c r="G28" s="1167">
        <f t="shared" ref="G28:G32" si="8">D28+E28-F28</f>
        <v>0</v>
      </c>
      <c r="H28" s="1167">
        <f t="shared" ref="H28:H32" si="9">G28</f>
        <v>0</v>
      </c>
      <c r="I28" s="1167">
        <v>0</v>
      </c>
      <c r="J28" s="1167">
        <v>0</v>
      </c>
      <c r="K28" s="1167">
        <f t="shared" ref="K28:K32" si="10">H28+I28-J28</f>
        <v>0</v>
      </c>
      <c r="L28" s="16"/>
      <c r="M28" s="16"/>
      <c r="N28" s="16"/>
      <c r="O28" s="16"/>
    </row>
    <row r="29" spans="2:19" s="10" customFormat="1">
      <c r="B29" s="78">
        <f t="shared" ref="B29:B33" si="11">+B28+1</f>
        <v>3</v>
      </c>
      <c r="C29" s="684" t="s">
        <v>106</v>
      </c>
      <c r="D29" s="686">
        <f t="shared" si="7"/>
        <v>1.682967908975062</v>
      </c>
      <c r="E29" s="1167">
        <f>+E33</f>
        <v>0</v>
      </c>
      <c r="F29" s="1167">
        <v>0</v>
      </c>
      <c r="G29" s="1167">
        <f t="shared" si="8"/>
        <v>1.682967908975062</v>
      </c>
      <c r="H29" s="1167">
        <f t="shared" si="9"/>
        <v>1.682967908975062</v>
      </c>
      <c r="I29" s="1167">
        <f>+I33</f>
        <v>0</v>
      </c>
      <c r="J29" s="1167">
        <v>0</v>
      </c>
      <c r="K29" s="1167">
        <f t="shared" si="10"/>
        <v>1.682967908975062</v>
      </c>
      <c r="L29" s="16"/>
      <c r="M29" s="16"/>
      <c r="N29" s="16"/>
      <c r="O29" s="16"/>
    </row>
    <row r="30" spans="2:19" s="10" customFormat="1">
      <c r="B30" s="78">
        <f t="shared" si="11"/>
        <v>4</v>
      </c>
      <c r="C30" s="684" t="s">
        <v>952</v>
      </c>
      <c r="D30" s="686">
        <f t="shared" si="7"/>
        <v>2.8561940435000013E-4</v>
      </c>
      <c r="E30" s="1167">
        <v>0</v>
      </c>
      <c r="F30" s="1167">
        <v>0</v>
      </c>
      <c r="G30" s="1167">
        <f t="shared" si="8"/>
        <v>2.8561940435000013E-4</v>
      </c>
      <c r="H30" s="1167">
        <f t="shared" si="9"/>
        <v>2.8561940435000013E-4</v>
      </c>
      <c r="I30" s="1167">
        <v>0</v>
      </c>
      <c r="J30" s="1167">
        <v>0</v>
      </c>
      <c r="K30" s="1167">
        <f t="shared" si="10"/>
        <v>2.8561940435000013E-4</v>
      </c>
      <c r="L30" s="16"/>
      <c r="M30" s="16"/>
      <c r="N30" s="16"/>
      <c r="O30" s="16"/>
    </row>
    <row r="31" spans="2:19">
      <c r="B31" s="78">
        <f t="shared" si="11"/>
        <v>5</v>
      </c>
      <c r="C31" s="684" t="s">
        <v>985</v>
      </c>
      <c r="D31" s="686">
        <f t="shared" si="7"/>
        <v>2.8412700724000019E-5</v>
      </c>
      <c r="E31" s="1167">
        <v>0</v>
      </c>
      <c r="F31" s="1167">
        <v>0</v>
      </c>
      <c r="G31" s="1167">
        <f t="shared" si="8"/>
        <v>2.8412700724000019E-5</v>
      </c>
      <c r="H31" s="1167">
        <f t="shared" si="9"/>
        <v>2.8412700724000019E-5</v>
      </c>
      <c r="I31" s="1167">
        <v>0</v>
      </c>
      <c r="J31" s="1167">
        <v>0</v>
      </c>
      <c r="K31" s="1167">
        <f t="shared" si="10"/>
        <v>2.8412700724000019E-5</v>
      </c>
      <c r="L31" s="16"/>
      <c r="M31" s="16"/>
      <c r="N31" s="16"/>
      <c r="O31" s="16"/>
    </row>
    <row r="32" spans="2:19">
      <c r="B32" s="78">
        <f t="shared" si="11"/>
        <v>6</v>
      </c>
      <c r="C32" s="684" t="s">
        <v>986</v>
      </c>
      <c r="D32" s="686">
        <f t="shared" si="7"/>
        <v>2.9656248554190017E-3</v>
      </c>
      <c r="E32" s="1167">
        <v>0</v>
      </c>
      <c r="F32" s="1167">
        <v>0</v>
      </c>
      <c r="G32" s="1167">
        <f t="shared" si="8"/>
        <v>2.9656248554190017E-3</v>
      </c>
      <c r="H32" s="1167">
        <f t="shared" si="9"/>
        <v>2.9656248554190017E-3</v>
      </c>
      <c r="I32" s="1167">
        <v>0</v>
      </c>
      <c r="J32" s="1167">
        <v>0</v>
      </c>
      <c r="K32" s="1167">
        <f t="shared" si="10"/>
        <v>2.9656248554190017E-3</v>
      </c>
      <c r="L32" s="16"/>
      <c r="M32" s="16"/>
      <c r="N32" s="16"/>
      <c r="O32" s="16"/>
    </row>
    <row r="33" spans="2:35" s="1" customFormat="1" ht="18">
      <c r="B33" s="149">
        <f t="shared" si="11"/>
        <v>7</v>
      </c>
      <c r="C33" s="711" t="s">
        <v>115</v>
      </c>
      <c r="D33" s="455">
        <f>SUM(D27:D32)</f>
        <v>1.6862475659355549</v>
      </c>
      <c r="E33" s="831">
        <f>+'F4'!P30</f>
        <v>0</v>
      </c>
      <c r="F33" s="831">
        <f t="shared" ref="F33:K33" si="12">SUM(F27:F32)</f>
        <v>0</v>
      </c>
      <c r="G33" s="831">
        <f t="shared" si="12"/>
        <v>1.6862475659355549</v>
      </c>
      <c r="H33" s="831">
        <f t="shared" si="12"/>
        <v>1.6862475659355549</v>
      </c>
      <c r="I33" s="831">
        <f>+'F4'!R30</f>
        <v>0</v>
      </c>
      <c r="J33" s="831">
        <f t="shared" si="12"/>
        <v>0</v>
      </c>
      <c r="K33" s="831">
        <f t="shared" si="12"/>
        <v>1.6862475659355549</v>
      </c>
      <c r="L33" s="381"/>
      <c r="M33" s="381"/>
      <c r="N33" s="381"/>
      <c r="O33" s="381"/>
    </row>
    <row r="34" spans="2:35" s="1" customFormat="1" ht="18">
      <c r="B34" s="43"/>
      <c r="C34" s="58"/>
      <c r="D34" s="43"/>
      <c r="E34" s="43"/>
      <c r="F34" s="43"/>
      <c r="G34" s="43"/>
      <c r="H34" s="43"/>
      <c r="I34" s="43"/>
      <c r="J34" s="43"/>
      <c r="K34" s="43"/>
      <c r="L34" s="43"/>
      <c r="M34" s="43"/>
      <c r="N34" s="43"/>
      <c r="O34" s="43"/>
      <c r="P34" s="43"/>
      <c r="Q34" s="43"/>
      <c r="R34" s="43"/>
      <c r="S34" s="43"/>
      <c r="T34" s="43"/>
      <c r="U34" s="43"/>
      <c r="V34" s="43"/>
      <c r="W34" s="43"/>
    </row>
    <row r="36" spans="2:35">
      <c r="B36" s="46" t="s">
        <v>116</v>
      </c>
    </row>
    <row r="37" spans="2:35">
      <c r="B37" s="46"/>
    </row>
    <row r="38" spans="2:35">
      <c r="E38" s="10"/>
      <c r="G38" s="10"/>
      <c r="H38" s="10"/>
      <c r="K38" s="52"/>
      <c r="O38" s="52" t="s">
        <v>16</v>
      </c>
      <c r="Q38" s="52"/>
    </row>
    <row r="39" spans="2:35" ht="15" customHeight="1">
      <c r="B39" s="1376" t="s">
        <v>157</v>
      </c>
      <c r="C39" s="1376" t="s">
        <v>49</v>
      </c>
      <c r="D39" s="1465" t="s">
        <v>38</v>
      </c>
      <c r="E39" s="1465"/>
      <c r="F39" s="1465"/>
      <c r="G39" s="1465"/>
      <c r="H39" s="1376" t="s">
        <v>146</v>
      </c>
      <c r="I39" s="1376"/>
      <c r="J39" s="1376"/>
      <c r="K39" s="1376"/>
      <c r="L39" s="1376" t="s">
        <v>147</v>
      </c>
      <c r="M39" s="1376"/>
      <c r="N39" s="1376"/>
      <c r="O39" s="1376"/>
    </row>
    <row r="40" spans="2:35">
      <c r="B40" s="1376"/>
      <c r="C40" s="1376"/>
      <c r="D40" s="1465" t="s">
        <v>12</v>
      </c>
      <c r="E40" s="1466"/>
      <c r="F40" s="1466"/>
      <c r="G40" s="1466"/>
      <c r="H40" s="1465" t="s">
        <v>12</v>
      </c>
      <c r="I40" s="1466"/>
      <c r="J40" s="1466"/>
      <c r="K40" s="1466"/>
      <c r="L40" s="1465" t="s">
        <v>688</v>
      </c>
      <c r="M40" s="1466"/>
      <c r="N40" s="1466"/>
      <c r="O40" s="1466"/>
    </row>
    <row r="41" spans="2:35" ht="57">
      <c r="B41" s="1376"/>
      <c r="C41" s="1376"/>
      <c r="D41" s="666" t="s">
        <v>993</v>
      </c>
      <c r="E41" s="666" t="s">
        <v>112</v>
      </c>
      <c r="F41" s="666" t="s">
        <v>113</v>
      </c>
      <c r="G41" s="666" t="s">
        <v>994</v>
      </c>
      <c r="H41" s="666" t="s">
        <v>993</v>
      </c>
      <c r="I41" s="666" t="s">
        <v>112</v>
      </c>
      <c r="J41" s="666" t="s">
        <v>113</v>
      </c>
      <c r="K41" s="666" t="s">
        <v>994</v>
      </c>
      <c r="L41" s="666" t="s">
        <v>993</v>
      </c>
      <c r="M41" s="666" t="s">
        <v>112</v>
      </c>
      <c r="N41" s="666" t="s">
        <v>113</v>
      </c>
      <c r="O41" s="666" t="s">
        <v>994</v>
      </c>
    </row>
    <row r="42" spans="2:35">
      <c r="B42" s="73">
        <v>1</v>
      </c>
      <c r="C42" s="684" t="s">
        <v>978</v>
      </c>
      <c r="D42" s="686">
        <v>0</v>
      </c>
      <c r="E42" s="686">
        <f>+(D15*ASSUM!$C34)+(E15*ASSUM!$C34/2)</f>
        <v>0</v>
      </c>
      <c r="F42" s="686">
        <v>0</v>
      </c>
      <c r="G42" s="687">
        <f>D42+E42-F42</f>
        <v>0</v>
      </c>
      <c r="H42" s="687">
        <f>G42</f>
        <v>0</v>
      </c>
      <c r="I42" s="686">
        <f>+(H15*ASSUM!$D34)+(I15*ASSUM!$D34/2)</f>
        <v>0</v>
      </c>
      <c r="J42" s="73">
        <v>0</v>
      </c>
      <c r="K42" s="687">
        <f>H42+I42-J42</f>
        <v>0</v>
      </c>
      <c r="L42" s="687">
        <f>K42</f>
        <v>0</v>
      </c>
      <c r="M42" s="686">
        <f>+(L15*ASSUM!$E34)+(M15*ASSUM!$E34/2)</f>
        <v>0</v>
      </c>
      <c r="N42" s="73">
        <v>0</v>
      </c>
      <c r="O42" s="687">
        <f>L42+M42-N42</f>
        <v>0</v>
      </c>
    </row>
    <row r="43" spans="2:35">
      <c r="B43" s="78">
        <f>+B42+1</f>
        <v>2</v>
      </c>
      <c r="C43" s="684" t="s">
        <v>979</v>
      </c>
      <c r="D43" s="686">
        <v>0</v>
      </c>
      <c r="E43" s="686">
        <f>+(D16*ASSUM!$C35)+(E16*ASSUM!$C35/2)</f>
        <v>0</v>
      </c>
      <c r="F43" s="686">
        <v>0</v>
      </c>
      <c r="G43" s="687">
        <f t="shared" ref="G43:G47" si="13">D43+E43-F43</f>
        <v>0</v>
      </c>
      <c r="H43" s="687">
        <f t="shared" ref="H43:H47" si="14">G43</f>
        <v>0</v>
      </c>
      <c r="I43" s="686">
        <f>+(H16*ASSUM!$D35)+(I16*ASSUM!$D35/2)</f>
        <v>0</v>
      </c>
      <c r="J43" s="73">
        <v>0</v>
      </c>
      <c r="K43" s="687">
        <f t="shared" ref="K43:K47" si="15">H43+I43-J43</f>
        <v>0</v>
      </c>
      <c r="L43" s="687">
        <f t="shared" ref="L43:L47" si="16">K43</f>
        <v>0</v>
      </c>
      <c r="M43" s="686">
        <f>+(L16*ASSUM!$E35)+(M16*ASSUM!$E35/2)</f>
        <v>0</v>
      </c>
      <c r="N43" s="73">
        <v>0</v>
      </c>
      <c r="O43" s="687">
        <f t="shared" ref="O43:O47" si="17">L43+M43-N43</f>
        <v>0</v>
      </c>
    </row>
    <row r="44" spans="2:35">
      <c r="B44" s="78">
        <f t="shared" ref="B44:B48" si="18">+B43+1</f>
        <v>3</v>
      </c>
      <c r="C44" s="684" t="s">
        <v>106</v>
      </c>
      <c r="D44" s="686">
        <v>0</v>
      </c>
      <c r="E44" s="686">
        <f>+(D17*ASSUM!$C36)+(E17*ASSUM!$C36/2)</f>
        <v>8.1459294641540642E-2</v>
      </c>
      <c r="F44" s="686">
        <v>0</v>
      </c>
      <c r="G44" s="687">
        <f t="shared" si="13"/>
        <v>8.1459294641540642E-2</v>
      </c>
      <c r="H44" s="687">
        <f t="shared" si="14"/>
        <v>8.1459294641540642E-2</v>
      </c>
      <c r="I44" s="686">
        <f>+(H17*ASSUM!$D36)+(I17*ASSUM!$D36/2)</f>
        <v>8.8401647438482278E-2</v>
      </c>
      <c r="J44" s="73">
        <v>0</v>
      </c>
      <c r="K44" s="687">
        <f t="shared" si="15"/>
        <v>0.16986094208002292</v>
      </c>
      <c r="L44" s="687">
        <f t="shared" si="16"/>
        <v>0.16986094208002292</v>
      </c>
      <c r="M44" s="686">
        <f>+(L17*ASSUM!$E36)+(M17*ASSUM!$E36/2)</f>
        <v>8.8860705593883274E-2</v>
      </c>
      <c r="N44" s="73">
        <v>0</v>
      </c>
      <c r="O44" s="687">
        <f t="shared" si="17"/>
        <v>0.25872164767390621</v>
      </c>
    </row>
    <row r="45" spans="2:35">
      <c r="B45" s="78">
        <f t="shared" si="18"/>
        <v>4</v>
      </c>
      <c r="C45" s="684" t="s">
        <v>952</v>
      </c>
      <c r="D45" s="686">
        <v>0</v>
      </c>
      <c r="E45" s="686">
        <f>+(D18*ASSUM!$C37)+(E18*ASSUM!$C37/2)</f>
        <v>2.1421455326250008E-5</v>
      </c>
      <c r="F45" s="686">
        <v>0</v>
      </c>
      <c r="G45" s="687">
        <f t="shared" si="13"/>
        <v>2.1421455326250008E-5</v>
      </c>
      <c r="H45" s="687">
        <f t="shared" si="14"/>
        <v>2.1421455326250008E-5</v>
      </c>
      <c r="I45" s="686">
        <f>+(H18*ASSUM!$D37)+(I18*ASSUM!$D37/2)</f>
        <v>4.2842910652500017E-5</v>
      </c>
      <c r="J45" s="73">
        <v>0</v>
      </c>
      <c r="K45" s="687">
        <f t="shared" si="15"/>
        <v>6.4264365978750025E-5</v>
      </c>
      <c r="L45" s="687">
        <f t="shared" si="16"/>
        <v>6.4264365978750025E-5</v>
      </c>
      <c r="M45" s="686">
        <f>+(L18*ASSUM!$E37)+(M18*ASSUM!$E37/2)</f>
        <v>4.2842910652500017E-5</v>
      </c>
      <c r="N45" s="73">
        <v>0</v>
      </c>
      <c r="O45" s="687">
        <f t="shared" si="17"/>
        <v>1.0710727663125004E-4</v>
      </c>
    </row>
    <row r="46" spans="2:35">
      <c r="B46" s="78">
        <f t="shared" si="18"/>
        <v>5</v>
      </c>
      <c r="C46" s="684" t="s">
        <v>985</v>
      </c>
      <c r="D46" s="686">
        <v>0</v>
      </c>
      <c r="E46" s="686">
        <f>+(D19*ASSUM!$C38)+(E19*ASSUM!$C38/2)</f>
        <v>8.9926197791460049E-7</v>
      </c>
      <c r="F46" s="686">
        <v>0</v>
      </c>
      <c r="G46" s="687">
        <f t="shared" si="13"/>
        <v>8.9926197791460049E-7</v>
      </c>
      <c r="H46" s="687">
        <f t="shared" si="14"/>
        <v>8.9926197791460049E-7</v>
      </c>
      <c r="I46" s="686">
        <f>+(H19*ASSUM!$D38)+(I19*ASSUM!$D38/2)</f>
        <v>1.798523955829201E-6</v>
      </c>
      <c r="J46" s="73">
        <v>0</v>
      </c>
      <c r="K46" s="687">
        <f t="shared" si="15"/>
        <v>2.6977859337438016E-6</v>
      </c>
      <c r="L46" s="687">
        <f t="shared" si="16"/>
        <v>2.6977859337438016E-6</v>
      </c>
      <c r="M46" s="686">
        <f>+(L19*ASSUM!$E38)+(M19*ASSUM!$E38/2)</f>
        <v>1.798523955829201E-6</v>
      </c>
      <c r="N46" s="73">
        <v>0</v>
      </c>
      <c r="O46" s="687">
        <f t="shared" si="17"/>
        <v>4.4963098895730028E-6</v>
      </c>
    </row>
    <row r="47" spans="2:35">
      <c r="B47" s="78">
        <f t="shared" si="18"/>
        <v>6</v>
      </c>
      <c r="C47" s="684" t="s">
        <v>986</v>
      </c>
      <c r="D47" s="686">
        <v>0</v>
      </c>
      <c r="E47" s="686">
        <f>+(D20*ASSUM!$C39)+(E20*ASSUM!$C39/2)</f>
        <v>7.829249618306164E-5</v>
      </c>
      <c r="F47" s="686">
        <v>0</v>
      </c>
      <c r="G47" s="687">
        <f t="shared" si="13"/>
        <v>7.829249618306164E-5</v>
      </c>
      <c r="H47" s="687">
        <f t="shared" si="14"/>
        <v>7.829249618306164E-5</v>
      </c>
      <c r="I47" s="686">
        <f>+(H20*ASSUM!$D39)+(I20*ASSUM!$D39/2)</f>
        <v>8.8968745662570048E-4</v>
      </c>
      <c r="J47" s="73">
        <v>0</v>
      </c>
      <c r="K47" s="713">
        <f t="shared" si="15"/>
        <v>9.6797995280876212E-4</v>
      </c>
      <c r="L47" s="687">
        <f t="shared" si="16"/>
        <v>9.6797995280876212E-4</v>
      </c>
      <c r="M47" s="686">
        <f>+(L20*ASSUM!$E39)+(M20*ASSUM!$E39/2)</f>
        <v>8.8968745662570048E-4</v>
      </c>
      <c r="N47" s="73">
        <v>0</v>
      </c>
      <c r="O47" s="687">
        <f t="shared" si="17"/>
        <v>1.8576674094344626E-3</v>
      </c>
    </row>
    <row r="48" spans="2:35" ht="18">
      <c r="B48" s="149">
        <f t="shared" si="18"/>
        <v>7</v>
      </c>
      <c r="C48" s="711" t="s">
        <v>115</v>
      </c>
      <c r="D48" s="455">
        <f>SUM(D42:D47)</f>
        <v>0</v>
      </c>
      <c r="E48" s="455">
        <f>SUM(E42:E47)</f>
        <v>8.1559907855027869E-2</v>
      </c>
      <c r="F48" s="455">
        <f t="shared" ref="F48:O48" si="19">SUM(F42:F47)</f>
        <v>0</v>
      </c>
      <c r="G48" s="455">
        <f t="shared" si="19"/>
        <v>8.1559907855027869E-2</v>
      </c>
      <c r="H48" s="455">
        <f t="shared" si="19"/>
        <v>8.1559907855027869E-2</v>
      </c>
      <c r="I48" s="455">
        <f t="shared" si="19"/>
        <v>8.9335976329716307E-2</v>
      </c>
      <c r="J48" s="455">
        <f t="shared" si="19"/>
        <v>0</v>
      </c>
      <c r="K48" s="455">
        <f t="shared" si="19"/>
        <v>0.17089588418474416</v>
      </c>
      <c r="L48" s="455">
        <f t="shared" si="19"/>
        <v>0.17089588418474416</v>
      </c>
      <c r="M48" s="455">
        <f t="shared" si="19"/>
        <v>8.9795034485117303E-2</v>
      </c>
      <c r="N48" s="455">
        <f t="shared" si="19"/>
        <v>0</v>
      </c>
      <c r="O48" s="455">
        <f t="shared" si="19"/>
        <v>0.26069091866986149</v>
      </c>
      <c r="P48" s="43"/>
      <c r="Q48" s="43"/>
      <c r="R48" s="43"/>
      <c r="S48" s="52"/>
      <c r="T48" s="43"/>
      <c r="U48" s="43"/>
      <c r="V48" s="43"/>
      <c r="W48" s="43"/>
      <c r="X48" s="43"/>
      <c r="Y48" s="43"/>
      <c r="Z48" s="43"/>
      <c r="AA48" s="43"/>
      <c r="AB48" s="43"/>
      <c r="AC48" s="43"/>
      <c r="AD48" s="43"/>
      <c r="AE48" s="43"/>
      <c r="AF48" s="43"/>
      <c r="AG48" s="43"/>
      <c r="AH48" s="43"/>
      <c r="AI48" s="43"/>
    </row>
    <row r="49" spans="2:35" ht="18">
      <c r="B49" s="46"/>
      <c r="C49" s="154"/>
      <c r="E49" s="10"/>
      <c r="G49" s="10"/>
      <c r="H49" s="10"/>
      <c r="P49" s="43"/>
      <c r="Q49" s="43"/>
      <c r="R49" s="43"/>
      <c r="S49" s="43"/>
      <c r="T49" s="43"/>
      <c r="U49" s="43"/>
      <c r="V49" s="43"/>
      <c r="W49" s="43"/>
      <c r="X49" s="43"/>
      <c r="Y49" s="43"/>
      <c r="Z49" s="43"/>
      <c r="AA49" s="43"/>
      <c r="AB49" s="43"/>
      <c r="AC49" s="43"/>
      <c r="AD49" s="43"/>
      <c r="AE49" s="43"/>
      <c r="AF49" s="43"/>
      <c r="AG49" s="43"/>
      <c r="AH49" s="43"/>
      <c r="AI49" s="43"/>
    </row>
    <row r="50" spans="2:35" ht="15" customHeight="1">
      <c r="B50" s="46"/>
      <c r="C50" s="154"/>
      <c r="E50" s="10"/>
      <c r="G50" s="10"/>
      <c r="H50" s="10"/>
      <c r="K50" s="52" t="s">
        <v>16</v>
      </c>
      <c r="O50" s="378"/>
    </row>
    <row r="51" spans="2:35">
      <c r="B51" s="1376" t="s">
        <v>157</v>
      </c>
      <c r="C51" s="1376" t="s">
        <v>49</v>
      </c>
      <c r="D51" s="1376" t="s">
        <v>148</v>
      </c>
      <c r="E51" s="1376"/>
      <c r="F51" s="1376"/>
      <c r="G51" s="1376"/>
      <c r="H51" s="1376" t="s">
        <v>149</v>
      </c>
      <c r="I51" s="1376"/>
      <c r="J51" s="1376"/>
      <c r="K51" s="1376"/>
      <c r="L51" s="1467"/>
      <c r="M51" s="1467"/>
      <c r="N51" s="1467"/>
      <c r="O51" s="1467"/>
    </row>
    <row r="52" spans="2:35">
      <c r="B52" s="1376"/>
      <c r="C52" s="1376"/>
      <c r="D52" s="1465" t="s">
        <v>689</v>
      </c>
      <c r="E52" s="1466"/>
      <c r="F52" s="1466"/>
      <c r="G52" s="1466"/>
      <c r="H52" s="1465" t="s">
        <v>689</v>
      </c>
      <c r="I52" s="1466"/>
      <c r="J52" s="1466"/>
      <c r="K52" s="1466"/>
      <c r="L52" s="1468"/>
      <c r="M52" s="1469"/>
      <c r="N52" s="1469"/>
      <c r="O52" s="1469"/>
    </row>
    <row r="53" spans="2:35" ht="57">
      <c r="B53" s="1376"/>
      <c r="C53" s="1376"/>
      <c r="D53" s="666" t="s">
        <v>993</v>
      </c>
      <c r="E53" s="666" t="s">
        <v>112</v>
      </c>
      <c r="F53" s="666" t="s">
        <v>113</v>
      </c>
      <c r="G53" s="666" t="s">
        <v>994</v>
      </c>
      <c r="H53" s="666" t="s">
        <v>993</v>
      </c>
      <c r="I53" s="666" t="s">
        <v>112</v>
      </c>
      <c r="J53" s="666" t="s">
        <v>113</v>
      </c>
      <c r="K53" s="666" t="s">
        <v>994</v>
      </c>
      <c r="L53" s="379"/>
      <c r="M53" s="379"/>
      <c r="N53" s="379"/>
      <c r="O53" s="379"/>
    </row>
    <row r="54" spans="2:35">
      <c r="B54" s="73">
        <v>1</v>
      </c>
      <c r="C54" s="684" t="s">
        <v>978</v>
      </c>
      <c r="D54" s="687">
        <f t="shared" ref="D54:D59" si="20">O42</f>
        <v>0</v>
      </c>
      <c r="E54" s="686">
        <f>+(D27*ASSUM!$F34)+(E27*ASSUM!$F34/2)</f>
        <v>0</v>
      </c>
      <c r="F54" s="73">
        <v>0</v>
      </c>
      <c r="G54" s="687">
        <f>D54+E54-F54</f>
        <v>0</v>
      </c>
      <c r="H54" s="687">
        <f>G54</f>
        <v>0</v>
      </c>
      <c r="I54" s="686">
        <f>+(H27*ASSUM!$G34)+(I27*ASSUM!$G34/2)</f>
        <v>0</v>
      </c>
      <c r="J54" s="73">
        <v>0</v>
      </c>
      <c r="K54" s="687">
        <f>H54+I54-J54</f>
        <v>0</v>
      </c>
      <c r="L54" s="380"/>
      <c r="M54" s="380"/>
      <c r="N54" s="380"/>
      <c r="O54" s="380"/>
    </row>
    <row r="55" spans="2:35">
      <c r="B55" s="78">
        <f>+B54+1</f>
        <v>2</v>
      </c>
      <c r="C55" s="684" t="s">
        <v>979</v>
      </c>
      <c r="D55" s="687">
        <f t="shared" si="20"/>
        <v>0</v>
      </c>
      <c r="E55" s="686">
        <f>+(D28*ASSUM!$F35)+(E28*ASSUM!$F35/2)</f>
        <v>0</v>
      </c>
      <c r="F55" s="73">
        <v>0</v>
      </c>
      <c r="G55" s="687">
        <f t="shared" ref="G55:G59" si="21">D55+E55-F55</f>
        <v>0</v>
      </c>
      <c r="H55" s="687">
        <f t="shared" ref="H55:H59" si="22">G55</f>
        <v>0</v>
      </c>
      <c r="I55" s="686">
        <f>+(H28*ASSUM!$G35)+(I28*ASSUM!$G35/2)</f>
        <v>0</v>
      </c>
      <c r="J55" s="73">
        <v>0</v>
      </c>
      <c r="K55" s="687">
        <f t="shared" ref="K55:K59" si="23">H55+I55-J55</f>
        <v>0</v>
      </c>
      <c r="L55" s="16"/>
      <c r="M55" s="16"/>
      <c r="N55" s="16"/>
      <c r="O55" s="16"/>
    </row>
    <row r="56" spans="2:35">
      <c r="B56" s="78">
        <f t="shared" ref="B56:B60" si="24">+B55+1</f>
        <v>3</v>
      </c>
      <c r="C56" s="684" t="s">
        <v>106</v>
      </c>
      <c r="D56" s="687">
        <f t="shared" si="20"/>
        <v>0.25872164767390621</v>
      </c>
      <c r="E56" s="686">
        <f>+(D29*ASSUM!$F36)+(E29*ASSUM!$F36/2)</f>
        <v>8.8860705593883274E-2</v>
      </c>
      <c r="F56" s="73">
        <v>0</v>
      </c>
      <c r="G56" s="687">
        <f t="shared" si="21"/>
        <v>0.34758235326778947</v>
      </c>
      <c r="H56" s="687">
        <f t="shared" si="22"/>
        <v>0.34758235326778947</v>
      </c>
      <c r="I56" s="686">
        <f>+(H29*ASSUM!$G36)+(I29*ASSUM!$G36/2)</f>
        <v>8.8860705593883274E-2</v>
      </c>
      <c r="J56" s="73">
        <v>0</v>
      </c>
      <c r="K56" s="687">
        <f t="shared" si="23"/>
        <v>0.43644305886167273</v>
      </c>
      <c r="L56" s="16"/>
      <c r="M56" s="16"/>
      <c r="N56" s="16"/>
      <c r="O56" s="16"/>
    </row>
    <row r="57" spans="2:35">
      <c r="B57" s="78">
        <f t="shared" si="24"/>
        <v>4</v>
      </c>
      <c r="C57" s="684" t="s">
        <v>952</v>
      </c>
      <c r="D57" s="687">
        <f t="shared" si="20"/>
        <v>1.0710727663125004E-4</v>
      </c>
      <c r="E57" s="686">
        <f>+(D30*ASSUM!$F37)+(E30*ASSUM!$F37/2)</f>
        <v>4.2842910652500017E-5</v>
      </c>
      <c r="F57" s="73">
        <v>0</v>
      </c>
      <c r="G57" s="687">
        <f t="shared" si="21"/>
        <v>1.4995018728375007E-4</v>
      </c>
      <c r="H57" s="687">
        <f t="shared" si="22"/>
        <v>1.4995018728375007E-4</v>
      </c>
      <c r="I57" s="686">
        <f>+(H30*ASSUM!$G37)+(I30*ASSUM!$G37/2)</f>
        <v>4.2842910652500017E-5</v>
      </c>
      <c r="J57" s="73">
        <v>0</v>
      </c>
      <c r="K57" s="687">
        <f t="shared" si="23"/>
        <v>1.9279309793625009E-4</v>
      </c>
      <c r="L57" s="16"/>
      <c r="M57" s="16"/>
      <c r="N57" s="16"/>
      <c r="O57" s="16"/>
    </row>
    <row r="58" spans="2:35">
      <c r="B58" s="78">
        <f t="shared" si="24"/>
        <v>5</v>
      </c>
      <c r="C58" s="684" t="s">
        <v>985</v>
      </c>
      <c r="D58" s="687">
        <f t="shared" si="20"/>
        <v>4.4963098895730028E-6</v>
      </c>
      <c r="E58" s="686">
        <f>+(D31*ASSUM!$F38)+(E31*ASSUM!$F38/2)</f>
        <v>1.798523955829201E-6</v>
      </c>
      <c r="F58" s="73">
        <v>0</v>
      </c>
      <c r="G58" s="687">
        <f t="shared" si="21"/>
        <v>6.2948338454022036E-6</v>
      </c>
      <c r="H58" s="687">
        <f t="shared" si="22"/>
        <v>6.2948338454022036E-6</v>
      </c>
      <c r="I58" s="686">
        <f>+(H31*ASSUM!$G38)+(I31*ASSUM!$G38/2)</f>
        <v>1.798523955829201E-6</v>
      </c>
      <c r="J58" s="73">
        <v>0</v>
      </c>
      <c r="K58" s="687">
        <f t="shared" si="23"/>
        <v>8.0933578012314043E-6</v>
      </c>
      <c r="L58" s="16"/>
      <c r="M58" s="16"/>
      <c r="N58" s="16"/>
      <c r="O58" s="16"/>
    </row>
    <row r="59" spans="2:35">
      <c r="B59" s="78">
        <f t="shared" si="24"/>
        <v>6</v>
      </c>
      <c r="C59" s="684" t="s">
        <v>986</v>
      </c>
      <c r="D59" s="687">
        <f t="shared" si="20"/>
        <v>1.8576674094344626E-3</v>
      </c>
      <c r="E59" s="686">
        <f>+(D32*ASSUM!$F39)+(E32*ASSUM!$F39/2)</f>
        <v>8.8968745662570048E-4</v>
      </c>
      <c r="F59" s="73">
        <v>0</v>
      </c>
      <c r="G59" s="687">
        <f t="shared" si="21"/>
        <v>2.7473548660601633E-3</v>
      </c>
      <c r="H59" s="687">
        <f t="shared" si="22"/>
        <v>2.7473548660601633E-3</v>
      </c>
      <c r="I59" s="686">
        <f>+(H32*ASSUM!$G39)+(I32*ASSUM!$G39/2)</f>
        <v>8.8968745662570048E-4</v>
      </c>
      <c r="J59" s="73">
        <v>0</v>
      </c>
      <c r="K59" s="687">
        <f t="shared" si="23"/>
        <v>3.6370423226858638E-3</v>
      </c>
      <c r="L59" s="16"/>
      <c r="M59" s="16"/>
      <c r="N59" s="16"/>
      <c r="O59" s="16"/>
    </row>
    <row r="60" spans="2:35" ht="18">
      <c r="B60" s="149">
        <f t="shared" si="24"/>
        <v>7</v>
      </c>
      <c r="C60" s="711" t="s">
        <v>115</v>
      </c>
      <c r="D60" s="455">
        <f t="shared" ref="D60" si="25">SUM(D54:D59)</f>
        <v>0.26069091866986149</v>
      </c>
      <c r="E60" s="455">
        <f t="shared" ref="E60" si="26">SUM(E54:E59)</f>
        <v>8.9795034485117303E-2</v>
      </c>
      <c r="F60" s="455">
        <f t="shared" ref="F60" si="27">SUM(F54:F59)</f>
        <v>0</v>
      </c>
      <c r="G60" s="455">
        <f t="shared" ref="G60" si="28">SUM(G54:G59)</f>
        <v>0.35048595315497877</v>
      </c>
      <c r="H60" s="455">
        <f t="shared" ref="H60" si="29">SUM(H54:H59)</f>
        <v>0.35048595315497877</v>
      </c>
      <c r="I60" s="455">
        <f t="shared" ref="I60" si="30">SUM(I54:I59)</f>
        <v>8.9795034485117303E-2</v>
      </c>
      <c r="J60" s="455">
        <f t="shared" ref="J60" si="31">SUM(J54:J59)</f>
        <v>0</v>
      </c>
      <c r="K60" s="455">
        <f t="shared" ref="K60" si="32">SUM(K54:K59)</f>
        <v>0.44028098764009604</v>
      </c>
      <c r="L60" s="381"/>
      <c r="M60" s="381"/>
      <c r="N60" s="381"/>
      <c r="O60" s="381"/>
    </row>
    <row r="61" spans="2:35" ht="18">
      <c r="B61" s="43"/>
      <c r="C61" s="58"/>
      <c r="D61" s="43"/>
      <c r="E61" s="43"/>
      <c r="F61" s="43"/>
      <c r="G61" s="43"/>
      <c r="H61" s="43"/>
      <c r="I61" s="43"/>
      <c r="J61" s="43"/>
      <c r="K61" s="43"/>
      <c r="L61" s="381"/>
      <c r="M61" s="381"/>
      <c r="N61" s="381"/>
      <c r="O61" s="381"/>
    </row>
    <row r="62" spans="2:35" ht="18">
      <c r="B62" s="43"/>
      <c r="C62" s="58"/>
      <c r="D62" s="43"/>
      <c r="E62" s="43"/>
      <c r="F62" s="43"/>
      <c r="G62" s="43"/>
      <c r="H62" s="43"/>
      <c r="I62" s="43"/>
      <c r="J62" s="43"/>
      <c r="K62" s="43"/>
      <c r="L62" s="381"/>
      <c r="M62" s="381"/>
      <c r="N62" s="381"/>
      <c r="O62" s="381"/>
    </row>
    <row r="64" spans="2:35">
      <c r="B64" s="46" t="s">
        <v>158</v>
      </c>
    </row>
    <row r="65" spans="2:35" ht="32.25" customHeight="1">
      <c r="E65" s="10"/>
      <c r="G65" s="10"/>
      <c r="H65" s="10"/>
      <c r="K65" s="52"/>
      <c r="O65" s="52" t="s">
        <v>16</v>
      </c>
      <c r="Q65" s="52"/>
    </row>
    <row r="66" spans="2:35" ht="15" customHeight="1">
      <c r="B66" s="1376" t="s">
        <v>157</v>
      </c>
      <c r="C66" s="1376" t="s">
        <v>49</v>
      </c>
      <c r="D66" s="1465" t="s">
        <v>38</v>
      </c>
      <c r="E66" s="1465"/>
      <c r="F66" s="1465"/>
      <c r="G66" s="1465"/>
      <c r="H66" s="1376" t="s">
        <v>146</v>
      </c>
      <c r="I66" s="1376"/>
      <c r="J66" s="1376"/>
      <c r="K66" s="1376"/>
      <c r="L66" s="1376" t="s">
        <v>147</v>
      </c>
      <c r="M66" s="1376"/>
      <c r="N66" s="1376"/>
      <c r="O66" s="1376"/>
    </row>
    <row r="67" spans="2:35">
      <c r="B67" s="1376"/>
      <c r="C67" s="1376"/>
      <c r="D67" s="1465" t="s">
        <v>12</v>
      </c>
      <c r="E67" s="1466"/>
      <c r="F67" s="1466"/>
      <c r="G67" s="1466"/>
      <c r="H67" s="1465" t="s">
        <v>12</v>
      </c>
      <c r="I67" s="1466"/>
      <c r="J67" s="1466"/>
      <c r="K67" s="1466"/>
      <c r="L67" s="1465" t="s">
        <v>688</v>
      </c>
      <c r="M67" s="1466"/>
      <c r="N67" s="1466"/>
      <c r="O67" s="1466"/>
    </row>
    <row r="68" spans="2:35" ht="42.75">
      <c r="B68" s="1376"/>
      <c r="C68" s="1376"/>
      <c r="D68" s="365" t="s">
        <v>111</v>
      </c>
      <c r="E68" s="365" t="s">
        <v>112</v>
      </c>
      <c r="F68" s="365" t="s">
        <v>113</v>
      </c>
      <c r="G68" s="365" t="s">
        <v>114</v>
      </c>
      <c r="H68" s="365" t="s">
        <v>111</v>
      </c>
      <c r="I68" s="365" t="s">
        <v>112</v>
      </c>
      <c r="J68" s="365" t="s">
        <v>113</v>
      </c>
      <c r="K68" s="365" t="s">
        <v>114</v>
      </c>
      <c r="L68" s="365" t="s">
        <v>111</v>
      </c>
      <c r="M68" s="365" t="s">
        <v>112</v>
      </c>
      <c r="N68" s="365" t="s">
        <v>113</v>
      </c>
      <c r="O68" s="365" t="s">
        <v>114</v>
      </c>
    </row>
    <row r="69" spans="2:35">
      <c r="B69" s="73">
        <v>1</v>
      </c>
      <c r="C69" s="684" t="s">
        <v>978</v>
      </c>
      <c r="D69" s="687">
        <f>+D15-D42</f>
        <v>0</v>
      </c>
      <c r="E69" s="687">
        <f t="shared" ref="E69:O69" si="33">+E15-E42</f>
        <v>0</v>
      </c>
      <c r="F69" s="687">
        <f t="shared" si="33"/>
        <v>0</v>
      </c>
      <c r="G69" s="687">
        <f t="shared" si="33"/>
        <v>0</v>
      </c>
      <c r="H69" s="687">
        <f t="shared" si="33"/>
        <v>0</v>
      </c>
      <c r="I69" s="687">
        <f t="shared" si="33"/>
        <v>0</v>
      </c>
      <c r="J69" s="687">
        <f t="shared" si="33"/>
        <v>0</v>
      </c>
      <c r="K69" s="687">
        <f t="shared" si="33"/>
        <v>0</v>
      </c>
      <c r="L69" s="687">
        <f t="shared" si="33"/>
        <v>0</v>
      </c>
      <c r="M69" s="687">
        <f t="shared" si="33"/>
        <v>0</v>
      </c>
      <c r="N69" s="687">
        <f t="shared" si="33"/>
        <v>0</v>
      </c>
      <c r="O69" s="687">
        <f t="shared" si="33"/>
        <v>0</v>
      </c>
    </row>
    <row r="70" spans="2:35">
      <c r="B70" s="78">
        <f>+B69+1</f>
        <v>2</v>
      </c>
      <c r="C70" s="684" t="s">
        <v>979</v>
      </c>
      <c r="D70" s="687">
        <f t="shared" ref="D70:O74" si="34">+D16-D43</f>
        <v>0</v>
      </c>
      <c r="E70" s="687">
        <f t="shared" si="34"/>
        <v>0</v>
      </c>
      <c r="F70" s="687">
        <f t="shared" si="34"/>
        <v>0</v>
      </c>
      <c r="G70" s="687">
        <f t="shared" si="34"/>
        <v>0</v>
      </c>
      <c r="H70" s="687">
        <f t="shared" si="34"/>
        <v>0</v>
      </c>
      <c r="I70" s="687">
        <f t="shared" si="34"/>
        <v>0</v>
      </c>
      <c r="J70" s="687">
        <f t="shared" si="34"/>
        <v>0</v>
      </c>
      <c r="K70" s="687">
        <f t="shared" si="34"/>
        <v>0</v>
      </c>
      <c r="L70" s="687">
        <f t="shared" si="34"/>
        <v>0</v>
      </c>
      <c r="M70" s="687">
        <f t="shared" si="34"/>
        <v>0</v>
      </c>
      <c r="N70" s="687">
        <f t="shared" si="34"/>
        <v>0</v>
      </c>
      <c r="O70" s="687">
        <f t="shared" si="34"/>
        <v>0</v>
      </c>
    </row>
    <row r="71" spans="2:35">
      <c r="B71" s="78">
        <f t="shared" ref="B71:B75" si="35">+B70+1</f>
        <v>3</v>
      </c>
      <c r="C71" s="684" t="s">
        <v>106</v>
      </c>
      <c r="D71" s="687">
        <f t="shared" si="34"/>
        <v>1.42</v>
      </c>
      <c r="E71" s="687">
        <f t="shared" si="34"/>
        <v>0.16412004784105949</v>
      </c>
      <c r="F71" s="687">
        <f t="shared" si="34"/>
        <v>0</v>
      </c>
      <c r="G71" s="687">
        <f t="shared" si="34"/>
        <v>1.5841200478410593</v>
      </c>
      <c r="H71" s="687">
        <f t="shared" si="34"/>
        <v>1.5841200478410593</v>
      </c>
      <c r="I71" s="687">
        <f t="shared" si="34"/>
        <v>-7.1013080946020268E-2</v>
      </c>
      <c r="J71" s="687">
        <f t="shared" si="34"/>
        <v>0</v>
      </c>
      <c r="K71" s="687">
        <f t="shared" si="34"/>
        <v>1.513106966895039</v>
      </c>
      <c r="L71" s="687">
        <f t="shared" si="34"/>
        <v>1.513106966895039</v>
      </c>
      <c r="M71" s="687">
        <f t="shared" si="34"/>
        <v>-8.8860705593883274E-2</v>
      </c>
      <c r="N71" s="687">
        <f t="shared" si="34"/>
        <v>0</v>
      </c>
      <c r="O71" s="687">
        <f t="shared" si="34"/>
        <v>1.4242462613011557</v>
      </c>
    </row>
    <row r="72" spans="2:35">
      <c r="B72" s="78">
        <f t="shared" si="35"/>
        <v>4</v>
      </c>
      <c r="C72" s="684" t="s">
        <v>952</v>
      </c>
      <c r="D72" s="687">
        <f t="shared" si="34"/>
        <v>0</v>
      </c>
      <c r="E72" s="687">
        <f t="shared" si="34"/>
        <v>2.6419794902375013E-4</v>
      </c>
      <c r="F72" s="687">
        <f t="shared" si="34"/>
        <v>0</v>
      </c>
      <c r="G72" s="687">
        <f t="shared" si="34"/>
        <v>2.6419794902375013E-4</v>
      </c>
      <c r="H72" s="687">
        <f t="shared" si="34"/>
        <v>2.6419794902375013E-4</v>
      </c>
      <c r="I72" s="687">
        <f t="shared" si="34"/>
        <v>-4.2842910652500017E-5</v>
      </c>
      <c r="J72" s="687">
        <f t="shared" si="34"/>
        <v>0</v>
      </c>
      <c r="K72" s="687">
        <f t="shared" si="34"/>
        <v>2.2135503837125009E-4</v>
      </c>
      <c r="L72" s="687">
        <f t="shared" si="34"/>
        <v>2.2135503837125009E-4</v>
      </c>
      <c r="M72" s="687">
        <f t="shared" si="34"/>
        <v>-4.2842910652500017E-5</v>
      </c>
      <c r="N72" s="687">
        <f t="shared" si="34"/>
        <v>0</v>
      </c>
      <c r="O72" s="687">
        <f t="shared" si="34"/>
        <v>1.785121277187501E-4</v>
      </c>
    </row>
    <row r="73" spans="2:35">
      <c r="B73" s="78">
        <f t="shared" si="35"/>
        <v>5</v>
      </c>
      <c r="C73" s="684" t="s">
        <v>985</v>
      </c>
      <c r="D73" s="687">
        <f t="shared" si="34"/>
        <v>0</v>
      </c>
      <c r="E73" s="687">
        <f t="shared" si="34"/>
        <v>2.7513438746085418E-5</v>
      </c>
      <c r="F73" s="687">
        <f t="shared" si="34"/>
        <v>0</v>
      </c>
      <c r="G73" s="687">
        <f t="shared" si="34"/>
        <v>2.7513438746085418E-5</v>
      </c>
      <c r="H73" s="687">
        <f t="shared" si="34"/>
        <v>2.7513438746085418E-5</v>
      </c>
      <c r="I73" s="687">
        <f t="shared" si="34"/>
        <v>-1.798523955829201E-6</v>
      </c>
      <c r="J73" s="687">
        <f t="shared" si="34"/>
        <v>0</v>
      </c>
      <c r="K73" s="687">
        <f t="shared" si="34"/>
        <v>2.5714914790256219E-5</v>
      </c>
      <c r="L73" s="687">
        <f t="shared" si="34"/>
        <v>2.5714914790256219E-5</v>
      </c>
      <c r="M73" s="687">
        <f t="shared" si="34"/>
        <v>-1.798523955829201E-6</v>
      </c>
      <c r="N73" s="687">
        <f t="shared" si="34"/>
        <v>0</v>
      </c>
      <c r="O73" s="687">
        <f t="shared" si="34"/>
        <v>2.3916390834427016E-5</v>
      </c>
    </row>
    <row r="74" spans="2:35">
      <c r="B74" s="78">
        <f t="shared" si="35"/>
        <v>6</v>
      </c>
      <c r="C74" s="684" t="s">
        <v>986</v>
      </c>
      <c r="D74" s="687">
        <f t="shared" si="34"/>
        <v>0</v>
      </c>
      <c r="E74" s="687">
        <f t="shared" si="34"/>
        <v>2.8873323592359399E-3</v>
      </c>
      <c r="F74" s="687">
        <f t="shared" si="34"/>
        <v>0</v>
      </c>
      <c r="G74" s="687">
        <f t="shared" si="34"/>
        <v>2.8873323592359399E-3</v>
      </c>
      <c r="H74" s="687">
        <f t="shared" si="34"/>
        <v>2.8873323592359399E-3</v>
      </c>
      <c r="I74" s="687">
        <f t="shared" si="34"/>
        <v>-8.8968745662570048E-4</v>
      </c>
      <c r="J74" s="687">
        <f t="shared" si="34"/>
        <v>0</v>
      </c>
      <c r="K74" s="687">
        <f t="shared" si="34"/>
        <v>1.9976449026102398E-3</v>
      </c>
      <c r="L74" s="687">
        <f t="shared" si="34"/>
        <v>1.9976449026102398E-3</v>
      </c>
      <c r="M74" s="687">
        <f t="shared" si="34"/>
        <v>-8.8968745662570048E-4</v>
      </c>
      <c r="N74" s="687">
        <f t="shared" si="34"/>
        <v>0</v>
      </c>
      <c r="O74" s="687">
        <f t="shared" si="34"/>
        <v>1.1079574459845391E-3</v>
      </c>
    </row>
    <row r="75" spans="2:35" ht="18">
      <c r="B75" s="149">
        <f t="shared" si="35"/>
        <v>7</v>
      </c>
      <c r="C75" s="711" t="s">
        <v>115</v>
      </c>
      <c r="D75" s="455">
        <f t="shared" ref="D75" si="36">SUM(D69:D74)</f>
        <v>1.42</v>
      </c>
      <c r="E75" s="455">
        <f t="shared" ref="E75" si="37">SUM(E69:E74)</f>
        <v>0.16729909158806525</v>
      </c>
      <c r="F75" s="455">
        <f t="shared" ref="F75" si="38">SUM(F69:F74)</f>
        <v>0</v>
      </c>
      <c r="G75" s="455">
        <f t="shared" ref="G75" si="39">SUM(G69:G74)</f>
        <v>1.5872990915880651</v>
      </c>
      <c r="H75" s="455">
        <f t="shared" ref="H75" si="40">SUM(H69:H74)</f>
        <v>1.5872990915880651</v>
      </c>
      <c r="I75" s="455">
        <f t="shared" ref="I75" si="41">SUM(I69:I74)</f>
        <v>-7.1947409837254298E-2</v>
      </c>
      <c r="J75" s="455">
        <f t="shared" ref="J75" si="42">SUM(J69:J74)</f>
        <v>0</v>
      </c>
      <c r="K75" s="455">
        <f t="shared" ref="K75" si="43">SUM(K69:K74)</f>
        <v>1.5153516817508106</v>
      </c>
      <c r="L75" s="455">
        <f t="shared" ref="L75" si="44">SUM(L69:L74)</f>
        <v>1.5153516817508106</v>
      </c>
      <c r="M75" s="455">
        <f t="shared" ref="M75" si="45">SUM(M69:M74)</f>
        <v>-8.9795034485117303E-2</v>
      </c>
      <c r="N75" s="455">
        <f t="shared" ref="N75" si="46">SUM(N69:N74)</f>
        <v>0</v>
      </c>
      <c r="O75" s="455">
        <f t="shared" ref="O75" si="47">SUM(O69:O74)</f>
        <v>1.4255566472656933</v>
      </c>
      <c r="P75" s="43"/>
      <c r="Q75" s="43"/>
      <c r="R75" s="43"/>
      <c r="S75" s="43"/>
      <c r="T75" s="43"/>
      <c r="U75" s="43"/>
      <c r="V75" s="43"/>
      <c r="W75" s="43"/>
      <c r="X75" s="43"/>
      <c r="Y75" s="43"/>
      <c r="Z75" s="43"/>
      <c r="AA75" s="43"/>
      <c r="AB75" s="43"/>
      <c r="AC75" s="43"/>
      <c r="AD75" s="43"/>
      <c r="AE75" s="43"/>
      <c r="AF75" s="43"/>
      <c r="AG75" s="43"/>
      <c r="AH75" s="43"/>
      <c r="AI75" s="43"/>
    </row>
    <row r="76" spans="2:35" ht="18">
      <c r="B76" s="46"/>
      <c r="C76" s="154"/>
      <c r="E76" s="10"/>
      <c r="G76" s="10"/>
      <c r="H76" s="10"/>
      <c r="P76" s="43"/>
      <c r="Q76" s="43"/>
      <c r="R76" s="43"/>
      <c r="S76" s="43"/>
      <c r="T76" s="43"/>
      <c r="U76" s="43"/>
      <c r="V76" s="43"/>
      <c r="W76" s="43"/>
      <c r="X76" s="43"/>
      <c r="Y76" s="43"/>
      <c r="Z76" s="43"/>
      <c r="AA76" s="43"/>
      <c r="AB76" s="43"/>
      <c r="AC76" s="43"/>
      <c r="AD76" s="43"/>
      <c r="AE76" s="43"/>
      <c r="AF76" s="43"/>
      <c r="AG76" s="43"/>
      <c r="AH76" s="43"/>
      <c r="AI76" s="43"/>
    </row>
    <row r="77" spans="2:35" ht="15" customHeight="1">
      <c r="B77" s="46"/>
      <c r="C77" s="154"/>
      <c r="E77" s="10"/>
      <c r="G77" s="10"/>
      <c r="H77" s="10"/>
      <c r="K77" s="52" t="s">
        <v>16</v>
      </c>
      <c r="O77" s="378"/>
    </row>
    <row r="78" spans="2:35">
      <c r="B78" s="1376" t="s">
        <v>157</v>
      </c>
      <c r="C78" s="1376" t="s">
        <v>49</v>
      </c>
      <c r="D78" s="1376" t="s">
        <v>148</v>
      </c>
      <c r="E78" s="1376"/>
      <c r="F78" s="1376"/>
      <c r="G78" s="1376"/>
      <c r="H78" s="1376" t="s">
        <v>149</v>
      </c>
      <c r="I78" s="1376"/>
      <c r="J78" s="1376"/>
      <c r="K78" s="1376"/>
      <c r="L78" s="1467"/>
      <c r="M78" s="1467"/>
      <c r="N78" s="1467"/>
      <c r="O78" s="1467"/>
    </row>
    <row r="79" spans="2:35">
      <c r="B79" s="1376"/>
      <c r="C79" s="1376"/>
      <c r="D79" s="1465" t="s">
        <v>689</v>
      </c>
      <c r="E79" s="1466"/>
      <c r="F79" s="1466"/>
      <c r="G79" s="1466"/>
      <c r="H79" s="1465" t="s">
        <v>689</v>
      </c>
      <c r="I79" s="1466"/>
      <c r="J79" s="1466"/>
      <c r="K79" s="1466"/>
      <c r="L79" s="1468"/>
      <c r="M79" s="1469"/>
      <c r="N79" s="1469"/>
      <c r="O79" s="1469"/>
    </row>
    <row r="80" spans="2:35" ht="42.75">
      <c r="B80" s="1376"/>
      <c r="C80" s="1376"/>
      <c r="D80" s="365" t="s">
        <v>111</v>
      </c>
      <c r="E80" s="365" t="s">
        <v>112</v>
      </c>
      <c r="F80" s="365" t="s">
        <v>113</v>
      </c>
      <c r="G80" s="365" t="s">
        <v>114</v>
      </c>
      <c r="H80" s="365" t="s">
        <v>111</v>
      </c>
      <c r="I80" s="365" t="s">
        <v>112</v>
      </c>
      <c r="J80" s="365" t="s">
        <v>113</v>
      </c>
      <c r="K80" s="365" t="s">
        <v>114</v>
      </c>
      <c r="L80" s="379"/>
      <c r="M80" s="379"/>
      <c r="N80" s="379"/>
      <c r="O80" s="379"/>
    </row>
    <row r="81" spans="2:15">
      <c r="B81" s="73">
        <v>1</v>
      </c>
      <c r="C81" s="684" t="s">
        <v>978</v>
      </c>
      <c r="D81" s="687">
        <f>+D27-D54</f>
        <v>0</v>
      </c>
      <c r="E81" s="687">
        <f t="shared" ref="E81:K81" si="48">+E27-E54</f>
        <v>0</v>
      </c>
      <c r="F81" s="687">
        <f t="shared" si="48"/>
        <v>0</v>
      </c>
      <c r="G81" s="687">
        <f t="shared" si="48"/>
        <v>0</v>
      </c>
      <c r="H81" s="687">
        <f t="shared" si="48"/>
        <v>0</v>
      </c>
      <c r="I81" s="687">
        <f t="shared" si="48"/>
        <v>0</v>
      </c>
      <c r="J81" s="687">
        <f t="shared" si="48"/>
        <v>0</v>
      </c>
      <c r="K81" s="687">
        <f t="shared" si="48"/>
        <v>0</v>
      </c>
      <c r="L81" s="380"/>
      <c r="M81" s="380"/>
      <c r="N81" s="380"/>
      <c r="O81" s="380"/>
    </row>
    <row r="82" spans="2:15">
      <c r="B82" s="78">
        <f>+B81+1</f>
        <v>2</v>
      </c>
      <c r="C82" s="684" t="s">
        <v>979</v>
      </c>
      <c r="D82" s="687">
        <f t="shared" ref="D82:K86" si="49">+D28-D55</f>
        <v>0</v>
      </c>
      <c r="E82" s="687">
        <f t="shared" si="49"/>
        <v>0</v>
      </c>
      <c r="F82" s="687">
        <f t="shared" si="49"/>
        <v>0</v>
      </c>
      <c r="G82" s="687">
        <f t="shared" si="49"/>
        <v>0</v>
      </c>
      <c r="H82" s="687">
        <f t="shared" si="49"/>
        <v>0</v>
      </c>
      <c r="I82" s="687">
        <f t="shared" si="49"/>
        <v>0</v>
      </c>
      <c r="J82" s="687">
        <f t="shared" si="49"/>
        <v>0</v>
      </c>
      <c r="K82" s="687">
        <f t="shared" si="49"/>
        <v>0</v>
      </c>
      <c r="L82" s="16"/>
      <c r="M82" s="16"/>
      <c r="N82" s="16"/>
      <c r="O82" s="16"/>
    </row>
    <row r="83" spans="2:15">
      <c r="B83" s="78">
        <f t="shared" ref="B83:B87" si="50">+B82+1</f>
        <v>3</v>
      </c>
      <c r="C83" s="684" t="s">
        <v>106</v>
      </c>
      <c r="D83" s="687">
        <f t="shared" si="49"/>
        <v>1.4242462613011557</v>
      </c>
      <c r="E83" s="687">
        <f t="shared" si="49"/>
        <v>-8.8860705593883274E-2</v>
      </c>
      <c r="F83" s="687">
        <f t="shared" si="49"/>
        <v>0</v>
      </c>
      <c r="G83" s="687">
        <f t="shared" si="49"/>
        <v>1.3353855557072725</v>
      </c>
      <c r="H83" s="687">
        <f t="shared" si="49"/>
        <v>1.3353855557072725</v>
      </c>
      <c r="I83" s="687">
        <f t="shared" si="49"/>
        <v>-8.8860705593883274E-2</v>
      </c>
      <c r="J83" s="687">
        <f t="shared" si="49"/>
        <v>0</v>
      </c>
      <c r="K83" s="687">
        <f t="shared" si="49"/>
        <v>1.2465248501133892</v>
      </c>
      <c r="L83" s="16"/>
      <c r="M83" s="16"/>
      <c r="N83" s="16"/>
      <c r="O83" s="16"/>
    </row>
    <row r="84" spans="2:15">
      <c r="B84" s="78">
        <f t="shared" si="50"/>
        <v>4</v>
      </c>
      <c r="C84" s="684" t="s">
        <v>952</v>
      </c>
      <c r="D84" s="687">
        <f t="shared" si="49"/>
        <v>1.785121277187501E-4</v>
      </c>
      <c r="E84" s="687">
        <f t="shared" si="49"/>
        <v>-4.2842910652500017E-5</v>
      </c>
      <c r="F84" s="687">
        <f t="shared" si="49"/>
        <v>0</v>
      </c>
      <c r="G84" s="687">
        <f t="shared" si="49"/>
        <v>1.3566921706625006E-4</v>
      </c>
      <c r="H84" s="687">
        <f t="shared" si="49"/>
        <v>1.3566921706625006E-4</v>
      </c>
      <c r="I84" s="687">
        <f t="shared" si="49"/>
        <v>-4.2842910652500017E-5</v>
      </c>
      <c r="J84" s="687">
        <f t="shared" si="49"/>
        <v>0</v>
      </c>
      <c r="K84" s="687">
        <f t="shared" si="49"/>
        <v>9.282630641375004E-5</v>
      </c>
      <c r="L84" s="16"/>
      <c r="M84" s="16"/>
      <c r="N84" s="16"/>
      <c r="O84" s="16"/>
    </row>
    <row r="85" spans="2:15">
      <c r="B85" s="78">
        <f t="shared" si="50"/>
        <v>5</v>
      </c>
      <c r="C85" s="684" t="s">
        <v>985</v>
      </c>
      <c r="D85" s="687">
        <f t="shared" si="49"/>
        <v>2.3916390834427016E-5</v>
      </c>
      <c r="E85" s="687">
        <f t="shared" si="49"/>
        <v>-1.798523955829201E-6</v>
      </c>
      <c r="F85" s="687">
        <f t="shared" si="49"/>
        <v>0</v>
      </c>
      <c r="G85" s="687">
        <f t="shared" si="49"/>
        <v>2.2117866878597814E-5</v>
      </c>
      <c r="H85" s="687">
        <f t="shared" si="49"/>
        <v>2.2117866878597814E-5</v>
      </c>
      <c r="I85" s="687">
        <f t="shared" si="49"/>
        <v>-1.798523955829201E-6</v>
      </c>
      <c r="J85" s="687">
        <f t="shared" si="49"/>
        <v>0</v>
      </c>
      <c r="K85" s="687">
        <f t="shared" si="49"/>
        <v>2.0319342922768615E-5</v>
      </c>
      <c r="L85" s="16"/>
      <c r="M85" s="16"/>
      <c r="N85" s="16"/>
      <c r="O85" s="16"/>
    </row>
    <row r="86" spans="2:15">
      <c r="B86" s="78">
        <f t="shared" si="50"/>
        <v>6</v>
      </c>
      <c r="C86" s="684" t="s">
        <v>986</v>
      </c>
      <c r="D86" s="687">
        <f t="shared" si="49"/>
        <v>1.1079574459845391E-3</v>
      </c>
      <c r="E86" s="687">
        <f t="shared" si="49"/>
        <v>-8.8968745662570048E-4</v>
      </c>
      <c r="F86" s="687">
        <f t="shared" si="49"/>
        <v>0</v>
      </c>
      <c r="G86" s="687">
        <f t="shared" si="49"/>
        <v>2.1826998935883845E-4</v>
      </c>
      <c r="H86" s="687">
        <f t="shared" si="49"/>
        <v>2.1826998935883845E-4</v>
      </c>
      <c r="I86" s="687">
        <f t="shared" si="49"/>
        <v>-8.8968745662570048E-4</v>
      </c>
      <c r="J86" s="687">
        <f t="shared" si="49"/>
        <v>0</v>
      </c>
      <c r="K86" s="687">
        <f t="shared" si="49"/>
        <v>-6.7141746726686203E-4</v>
      </c>
      <c r="L86" s="16"/>
      <c r="M86" s="16"/>
      <c r="N86" s="16"/>
      <c r="O86" s="16"/>
    </row>
    <row r="87" spans="2:15" ht="18">
      <c r="B87" s="149">
        <f t="shared" si="50"/>
        <v>7</v>
      </c>
      <c r="C87" s="711" t="s">
        <v>115</v>
      </c>
      <c r="D87" s="455">
        <f t="shared" ref="D87" si="51">SUM(D81:D86)</f>
        <v>1.4255566472656933</v>
      </c>
      <c r="E87" s="455">
        <f t="shared" ref="E87" si="52">SUM(E81:E86)</f>
        <v>-8.9795034485117303E-2</v>
      </c>
      <c r="F87" s="455">
        <f t="shared" ref="F87" si="53">SUM(F81:F86)</f>
        <v>0</v>
      </c>
      <c r="G87" s="455">
        <f t="shared" ref="G87" si="54">SUM(G81:G86)</f>
        <v>1.3357616127805763</v>
      </c>
      <c r="H87" s="455">
        <f t="shared" ref="H87" si="55">SUM(H81:H86)</f>
        <v>1.3357616127805763</v>
      </c>
      <c r="I87" s="455">
        <f t="shared" ref="I87" si="56">SUM(I81:I86)</f>
        <v>-8.9795034485117303E-2</v>
      </c>
      <c r="J87" s="455">
        <f t="shared" ref="J87" si="57">SUM(J81:J86)</f>
        <v>0</v>
      </c>
      <c r="K87" s="455">
        <f t="shared" ref="K87" si="58">SUM(K81:K86)</f>
        <v>1.2459665782954588</v>
      </c>
      <c r="L87" s="381"/>
      <c r="M87" s="381"/>
      <c r="N87" s="381"/>
      <c r="O87" s="381"/>
    </row>
  </sheetData>
  <mergeCells count="48">
    <mergeCell ref="D78:G78"/>
    <mergeCell ref="H78:K78"/>
    <mergeCell ref="L78:O78"/>
    <mergeCell ref="B78:B80"/>
    <mergeCell ref="C78:C80"/>
    <mergeCell ref="D79:G79"/>
    <mergeCell ref="H79:K79"/>
    <mergeCell ref="L79:O79"/>
    <mergeCell ref="B66:B68"/>
    <mergeCell ref="C66:C68"/>
    <mergeCell ref="D66:G66"/>
    <mergeCell ref="H66:K66"/>
    <mergeCell ref="L66:O66"/>
    <mergeCell ref="D67:G67"/>
    <mergeCell ref="H67:K67"/>
    <mergeCell ref="L67:O67"/>
    <mergeCell ref="D51:G51"/>
    <mergeCell ref="H51:K51"/>
    <mergeCell ref="L51:O51"/>
    <mergeCell ref="B51:B53"/>
    <mergeCell ref="C51:C53"/>
    <mergeCell ref="D52:G52"/>
    <mergeCell ref="H52:K52"/>
    <mergeCell ref="L52:O52"/>
    <mergeCell ref="B39:B41"/>
    <mergeCell ref="C39:C41"/>
    <mergeCell ref="D39:G39"/>
    <mergeCell ref="H39:K39"/>
    <mergeCell ref="L39:O39"/>
    <mergeCell ref="D40:G40"/>
    <mergeCell ref="H40:K40"/>
    <mergeCell ref="L40:O40"/>
    <mergeCell ref="B24:B26"/>
    <mergeCell ref="C24:C26"/>
    <mergeCell ref="D24:G24"/>
    <mergeCell ref="H24:K24"/>
    <mergeCell ref="L24:O24"/>
    <mergeCell ref="D25:G25"/>
    <mergeCell ref="H25:K25"/>
    <mergeCell ref="L25:O25"/>
    <mergeCell ref="B12:B14"/>
    <mergeCell ref="C12:C14"/>
    <mergeCell ref="D12:G12"/>
    <mergeCell ref="H12:K12"/>
    <mergeCell ref="L12:O12"/>
    <mergeCell ref="D13:G13"/>
    <mergeCell ref="H13:K13"/>
    <mergeCell ref="L13:O13"/>
  </mergeCells>
  <pageMargins left="0.27559055118110237" right="0.23622047244094491" top="0.23622047244094491" bottom="0.23622047244094491" header="0.23622047244094491" footer="0.23622047244094491"/>
  <pageSetup paperSize="9" scale="50" fitToHeight="2" orientation="landscape" r:id="rId1"/>
  <headerFooter alignWithMargins="0">
    <oddHeader>&amp;F</oddHeader>
  </headerFooter>
  <rowBreaks count="1" manualBreakCount="1">
    <brk id="62" max="14"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pageSetUpPr fitToPage="1"/>
  </sheetPr>
  <dimension ref="B2:S105"/>
  <sheetViews>
    <sheetView showGridLines="0" view="pageBreakPreview" topLeftCell="B5" zoomScale="106" zoomScaleNormal="70" zoomScaleSheetLayoutView="106" workbookViewId="0">
      <pane xSplit="2" ySplit="8" topLeftCell="F21" activePane="bottomRight" state="frozen"/>
      <selection activeCell="C11" sqref="C11:C12"/>
      <selection pane="topRight" activeCell="C11" sqref="C11:C12"/>
      <selection pane="bottomLeft" activeCell="C11" sqref="C11:C12"/>
      <selection pane="bottomRight" activeCell="C11" sqref="C11:C12"/>
    </sheetView>
  </sheetViews>
  <sheetFormatPr defaultColWidth="9.140625" defaultRowHeight="15"/>
  <cols>
    <col min="1" max="1" width="6.85546875" style="18" customWidth="1"/>
    <col min="2" max="2" width="7" style="91" customWidth="1"/>
    <col min="3" max="3" width="80" style="18" customWidth="1"/>
    <col min="4" max="4" width="20.85546875" style="18" customWidth="1"/>
    <col min="5" max="5" width="21.140625" style="18" customWidth="1"/>
    <col min="6" max="9" width="18.7109375" style="18" customWidth="1"/>
    <col min="10" max="11" width="16.5703125" style="18" customWidth="1"/>
    <col min="12" max="12" width="16.28515625" style="18" customWidth="1"/>
    <col min="13" max="13" width="18.28515625" style="18" customWidth="1"/>
    <col min="14" max="14" width="22.7109375" style="18" customWidth="1"/>
    <col min="15" max="15" width="16.7109375" style="18" customWidth="1"/>
    <col min="16" max="16" width="17" style="18" customWidth="1"/>
    <col min="17" max="17" width="16.7109375" style="18" customWidth="1"/>
    <col min="18" max="18" width="17.42578125" style="18" customWidth="1"/>
    <col min="19" max="16384" width="9.140625" style="18"/>
  </cols>
  <sheetData>
    <row r="2" spans="2:18">
      <c r="C2" s="19"/>
      <c r="E2" s="20"/>
      <c r="F2" s="20"/>
      <c r="H2" s="20"/>
      <c r="I2" s="809" t="s">
        <v>906</v>
      </c>
      <c r="J2" s="20"/>
      <c r="K2" s="20"/>
    </row>
    <row r="3" spans="2:18" s="155" customFormat="1">
      <c r="B3" s="45"/>
      <c r="C3" s="21"/>
      <c r="E3" s="22"/>
      <c r="F3" s="22"/>
      <c r="H3" s="22"/>
      <c r="I3" s="809" t="s">
        <v>724</v>
      </c>
      <c r="J3" s="22"/>
      <c r="K3" s="22"/>
    </row>
    <row r="4" spans="2:18" s="155" customFormat="1">
      <c r="B4" s="45"/>
      <c r="C4" s="154"/>
      <c r="E4" s="24"/>
      <c r="F4" s="24"/>
      <c r="H4" s="22"/>
      <c r="I4" s="62" t="s">
        <v>321</v>
      </c>
      <c r="J4" s="22"/>
      <c r="K4" s="22"/>
    </row>
    <row r="5" spans="2:18" s="155" customFormat="1">
      <c r="B5" s="45"/>
      <c r="C5" s="154"/>
      <c r="D5" s="22"/>
      <c r="E5" s="25"/>
      <c r="F5" s="24"/>
      <c r="G5" s="22"/>
      <c r="H5" s="22"/>
      <c r="I5" s="22"/>
      <c r="J5" s="22"/>
      <c r="K5" s="22"/>
    </row>
    <row r="6" spans="2:18" s="155" customFormat="1">
      <c r="B6" s="45"/>
      <c r="C6" s="243" t="s">
        <v>325</v>
      </c>
      <c r="D6" s="22"/>
      <c r="E6" s="25"/>
      <c r="F6" s="24"/>
      <c r="G6" s="22"/>
      <c r="H6" s="22"/>
      <c r="I6" s="22"/>
      <c r="J6" s="22"/>
      <c r="K6" s="22"/>
    </row>
    <row r="7" spans="2:18" s="155" customFormat="1">
      <c r="B7" s="45"/>
      <c r="C7" s="243"/>
      <c r="D7" s="22"/>
      <c r="E7" s="25"/>
      <c r="F7" s="24"/>
      <c r="G7" s="22"/>
      <c r="H7" s="22"/>
      <c r="I7" s="22"/>
      <c r="J7" s="22"/>
      <c r="K7" s="22"/>
    </row>
    <row r="8" spans="2:18" s="155" customFormat="1">
      <c r="B8" s="45"/>
      <c r="C8" s="243" t="s">
        <v>220</v>
      </c>
      <c r="D8" s="243"/>
      <c r="E8" s="22"/>
      <c r="F8" s="22"/>
      <c r="G8" s="22"/>
      <c r="H8" s="25"/>
      <c r="I8" s="25"/>
      <c r="J8" s="24"/>
      <c r="K8" s="22"/>
      <c r="L8" s="22"/>
      <c r="M8" s="22"/>
      <c r="N8" s="22"/>
      <c r="O8" s="22"/>
      <c r="P8" s="22"/>
    </row>
    <row r="9" spans="2:18" s="155" customFormat="1">
      <c r="B9" s="45"/>
      <c r="C9" s="154"/>
      <c r="D9" s="154"/>
      <c r="E9" s="22"/>
      <c r="F9" s="22"/>
      <c r="G9" s="22"/>
      <c r="H9" s="25"/>
      <c r="I9" s="25"/>
      <c r="J9" s="24"/>
      <c r="K9" s="22"/>
      <c r="L9" s="22"/>
      <c r="M9" s="22"/>
      <c r="O9" s="22"/>
      <c r="P9" s="22"/>
      <c r="R9" s="26" t="s">
        <v>16</v>
      </c>
    </row>
    <row r="10" spans="2:18" s="389" customFormat="1">
      <c r="B10" s="1355" t="s">
        <v>157</v>
      </c>
      <c r="C10" s="1358" t="s">
        <v>49</v>
      </c>
      <c r="D10" s="1360" t="s">
        <v>670</v>
      </c>
      <c r="E10" s="1361"/>
      <c r="F10" s="1362"/>
      <c r="G10" s="1360" t="s">
        <v>146</v>
      </c>
      <c r="H10" s="1361"/>
      <c r="I10" s="1362"/>
      <c r="J10" s="1360" t="s">
        <v>147</v>
      </c>
      <c r="K10" s="1361"/>
      <c r="L10" s="1361"/>
      <c r="M10" s="1361"/>
      <c r="N10" s="1362"/>
      <c r="O10" s="1360" t="s">
        <v>148</v>
      </c>
      <c r="P10" s="1362"/>
      <c r="Q10" s="1363" t="s">
        <v>149</v>
      </c>
      <c r="R10" s="1363"/>
    </row>
    <row r="11" spans="2:18" s="389" customFormat="1" ht="28.5">
      <c r="B11" s="1356"/>
      <c r="C11" s="1358"/>
      <c r="D11" s="808" t="s">
        <v>413</v>
      </c>
      <c r="E11" s="808" t="s">
        <v>1341</v>
      </c>
      <c r="F11" s="808" t="s">
        <v>415</v>
      </c>
      <c r="G11" s="807" t="s">
        <v>413</v>
      </c>
      <c r="H11" s="808" t="s">
        <v>414</v>
      </c>
      <c r="I11" s="808" t="s">
        <v>415</v>
      </c>
      <c r="J11" s="808" t="s">
        <v>413</v>
      </c>
      <c r="K11" s="808" t="s">
        <v>416</v>
      </c>
      <c r="L11" s="808" t="s">
        <v>335</v>
      </c>
      <c r="M11" s="808" t="s">
        <v>71</v>
      </c>
      <c r="N11" s="808" t="s">
        <v>417</v>
      </c>
      <c r="O11" s="808" t="s">
        <v>413</v>
      </c>
      <c r="P11" s="808" t="s">
        <v>671</v>
      </c>
      <c r="Q11" s="808" t="s">
        <v>413</v>
      </c>
      <c r="R11" s="808" t="s">
        <v>671</v>
      </c>
    </row>
    <row r="12" spans="2:18" s="389" customFormat="1">
      <c r="B12" s="1473"/>
      <c r="C12" s="1474"/>
      <c r="D12" s="808" t="s">
        <v>72</v>
      </c>
      <c r="E12" s="808" t="s">
        <v>73</v>
      </c>
      <c r="F12" s="808" t="s">
        <v>705</v>
      </c>
      <c r="G12" s="808" t="s">
        <v>419</v>
      </c>
      <c r="H12" s="808" t="s">
        <v>420</v>
      </c>
      <c r="I12" s="808" t="s">
        <v>706</v>
      </c>
      <c r="J12" s="808" t="s">
        <v>676</v>
      </c>
      <c r="K12" s="808" t="s">
        <v>593</v>
      </c>
      <c r="L12" s="808" t="s">
        <v>677</v>
      </c>
      <c r="M12" s="808" t="s">
        <v>707</v>
      </c>
      <c r="N12" s="808" t="s">
        <v>708</v>
      </c>
      <c r="O12" s="808" t="s">
        <v>709</v>
      </c>
      <c r="P12" s="808" t="s">
        <v>596</v>
      </c>
      <c r="Q12" s="808" t="s">
        <v>710</v>
      </c>
      <c r="R12" s="808" t="s">
        <v>711</v>
      </c>
    </row>
    <row r="13" spans="2:18">
      <c r="B13" s="92">
        <v>1</v>
      </c>
      <c r="C13" s="31" t="s">
        <v>214</v>
      </c>
      <c r="D13" s="466">
        <f>+D15</f>
        <v>30.310000000000002</v>
      </c>
      <c r="E13" s="718">
        <f>+'F5.1'!D21*ASSUM!$C$27</f>
        <v>30.310000000000002</v>
      </c>
      <c r="F13" s="466">
        <f>E13-D13</f>
        <v>0</v>
      </c>
      <c r="G13" s="466">
        <f>+D20</f>
        <v>32.28</v>
      </c>
      <c r="H13" s="466">
        <f>+E20</f>
        <v>35.621912970389836</v>
      </c>
      <c r="I13" s="466">
        <f>H13-G13</f>
        <v>3.3419129703898349</v>
      </c>
      <c r="J13" s="466">
        <f>+G20</f>
        <v>32.81</v>
      </c>
      <c r="K13" s="466"/>
      <c r="L13" s="466"/>
      <c r="M13" s="466">
        <f>H20</f>
        <v>35.99307315384511</v>
      </c>
      <c r="N13" s="466">
        <f>M13-J13</f>
        <v>3.1830731538451076</v>
      </c>
      <c r="O13" s="466">
        <f>+J20</f>
        <v>35.36</v>
      </c>
      <c r="P13" s="466">
        <f>+M20</f>
        <v>36.287073153845107</v>
      </c>
      <c r="Q13" s="466">
        <f>+O20</f>
        <v>37.43</v>
      </c>
      <c r="R13" s="466">
        <f>+P20</f>
        <v>36.917073153845109</v>
      </c>
    </row>
    <row r="14" spans="2:18">
      <c r="B14" s="92">
        <f>B13+1</f>
        <v>2</v>
      </c>
      <c r="C14" s="31" t="s">
        <v>215</v>
      </c>
      <c r="D14" s="466">
        <v>0</v>
      </c>
      <c r="E14" s="718">
        <v>0</v>
      </c>
      <c r="F14" s="466">
        <f t="shared" ref="F14:F25" si="0">E14-D14</f>
        <v>0</v>
      </c>
      <c r="G14" s="466">
        <f>+D18+D14</f>
        <v>2.1</v>
      </c>
      <c r="H14" s="466">
        <f>+E18+E14</f>
        <v>2.2827208278849724</v>
      </c>
      <c r="I14" s="466">
        <f t="shared" ref="I14:I25" si="1">H14-G14</f>
        <v>0.18272082788497235</v>
      </c>
      <c r="J14" s="466">
        <f>+G18+G14+0.01</f>
        <v>4.3699999999999992</v>
      </c>
      <c r="K14" s="466"/>
      <c r="L14" s="466"/>
      <c r="M14" s="718">
        <f>H14+H18</f>
        <v>4.8025569877552563</v>
      </c>
      <c r="N14" s="466">
        <f t="shared" ref="N14:N25" si="2">M14-J14</f>
        <v>0.43255698775525708</v>
      </c>
      <c r="O14" s="466">
        <f>+J18+J14</f>
        <v>6.7399999999999993</v>
      </c>
      <c r="P14" s="718">
        <f>M14+M18</f>
        <v>7.347479188830139</v>
      </c>
      <c r="Q14" s="466">
        <f>+O18+O14+0.01</f>
        <v>9.27</v>
      </c>
      <c r="R14" s="466">
        <f>+P18+P14+0.01</f>
        <v>9.9372493899050216</v>
      </c>
    </row>
    <row r="15" spans="2:18">
      <c r="B15" s="92">
        <f t="shared" ref="B15:B20" si="3">B14+1</f>
        <v>3</v>
      </c>
      <c r="C15" s="31" t="s">
        <v>216</v>
      </c>
      <c r="D15" s="718">
        <f>+'F5.1'!D21*0.7</f>
        <v>30.310000000000002</v>
      </c>
      <c r="E15" s="718">
        <f>+E13-E14</f>
        <v>30.310000000000002</v>
      </c>
      <c r="F15" s="466">
        <f t="shared" si="0"/>
        <v>0</v>
      </c>
      <c r="G15" s="718">
        <f>G13-G14-0.01</f>
        <v>30.169999999999998</v>
      </c>
      <c r="H15" s="718">
        <f>H13-H14</f>
        <v>33.339192142504864</v>
      </c>
      <c r="I15" s="466">
        <f t="shared" si="1"/>
        <v>3.1691921425048655</v>
      </c>
      <c r="J15" s="718">
        <f>J13-J14</f>
        <v>28.440000000000005</v>
      </c>
      <c r="K15" s="466"/>
      <c r="L15" s="466"/>
      <c r="M15" s="718">
        <f>M13-M14</f>
        <v>31.190516166089854</v>
      </c>
      <c r="N15" s="466">
        <f t="shared" si="2"/>
        <v>2.7505161660898487</v>
      </c>
      <c r="O15" s="718">
        <f>O13-O14</f>
        <v>28.62</v>
      </c>
      <c r="P15" s="718">
        <f>P13-P14</f>
        <v>28.939593965014968</v>
      </c>
      <c r="Q15" s="718">
        <f>Q13-Q14</f>
        <v>28.16</v>
      </c>
      <c r="R15" s="718">
        <f>R13-R14</f>
        <v>26.97982376394009</v>
      </c>
    </row>
    <row r="16" spans="2:18">
      <c r="B16" s="92">
        <f t="shared" si="3"/>
        <v>4</v>
      </c>
      <c r="C16" s="31" t="s">
        <v>741</v>
      </c>
      <c r="D16" s="466">
        <v>0</v>
      </c>
      <c r="E16" s="718">
        <v>0</v>
      </c>
      <c r="F16" s="466">
        <f t="shared" si="0"/>
        <v>0</v>
      </c>
      <c r="G16" s="466">
        <v>0</v>
      </c>
      <c r="H16" s="466"/>
      <c r="I16" s="466">
        <f t="shared" si="1"/>
        <v>0</v>
      </c>
      <c r="J16" s="466">
        <v>0</v>
      </c>
      <c r="K16" s="466"/>
      <c r="L16" s="466"/>
      <c r="M16" s="466">
        <v>0</v>
      </c>
      <c r="N16" s="466">
        <f t="shared" si="2"/>
        <v>0</v>
      </c>
      <c r="O16" s="728">
        <v>0</v>
      </c>
      <c r="P16" s="466">
        <v>0</v>
      </c>
      <c r="Q16" s="728">
        <v>0</v>
      </c>
      <c r="R16" s="466">
        <v>0</v>
      </c>
    </row>
    <row r="17" spans="2:18">
      <c r="B17" s="92">
        <f t="shared" si="3"/>
        <v>5</v>
      </c>
      <c r="C17" s="31" t="s">
        <v>453</v>
      </c>
      <c r="D17" s="466">
        <v>1.97</v>
      </c>
      <c r="E17" s="718">
        <f>+ASSUM!C27*'F4'!$E$15</f>
        <v>5.3119129703898347</v>
      </c>
      <c r="F17" s="466">
        <f t="shared" si="0"/>
        <v>3.3419129703898349</v>
      </c>
      <c r="G17" s="466">
        <v>0.53</v>
      </c>
      <c r="H17" s="466">
        <f>+ASSUM!D27*'F4'!H15</f>
        <v>0.37116018345527657</v>
      </c>
      <c r="I17" s="466">
        <f t="shared" si="1"/>
        <v>-0.15883981654472346</v>
      </c>
      <c r="J17" s="466">
        <v>2.5499999999999998</v>
      </c>
      <c r="K17" s="466"/>
      <c r="L17" s="466"/>
      <c r="M17" s="466">
        <f>+ASSUM!E27*'F4'!M15</f>
        <v>0.29399999999999998</v>
      </c>
      <c r="N17" s="466">
        <f t="shared" si="2"/>
        <v>-2.2559999999999998</v>
      </c>
      <c r="O17" s="728">
        <v>2.0699999999999998</v>
      </c>
      <c r="P17" s="466">
        <f>+ASSUM!F27*'F4'!P15</f>
        <v>0.63</v>
      </c>
      <c r="Q17" s="728">
        <v>0</v>
      </c>
      <c r="R17" s="466">
        <f>+ASSUM!G27*'F4'!R15</f>
        <v>0.63</v>
      </c>
    </row>
    <row r="18" spans="2:18">
      <c r="B18" s="92">
        <f t="shared" si="3"/>
        <v>6</v>
      </c>
      <c r="C18" s="31" t="s">
        <v>226</v>
      </c>
      <c r="D18" s="466">
        <v>2.1</v>
      </c>
      <c r="E18" s="718">
        <f>+'ARR-Summary'!F14</f>
        <v>2.2827208278849724</v>
      </c>
      <c r="F18" s="466">
        <f t="shared" si="0"/>
        <v>0.18272082788497235</v>
      </c>
      <c r="G18" s="466">
        <v>2.2599999999999998</v>
      </c>
      <c r="H18" s="718">
        <f>+'ARR-Summary'!I14</f>
        <v>2.5198361598702839</v>
      </c>
      <c r="I18" s="466">
        <f t="shared" si="1"/>
        <v>0.25983615987028408</v>
      </c>
      <c r="J18" s="466">
        <v>2.37</v>
      </c>
      <c r="K18" s="466"/>
      <c r="L18" s="466"/>
      <c r="M18" s="718">
        <f>+'ARR-Summary'!N14</f>
        <v>2.5449222010748831</v>
      </c>
      <c r="N18" s="466">
        <f t="shared" si="2"/>
        <v>0.17492220107488299</v>
      </c>
      <c r="O18" s="728">
        <v>2.52</v>
      </c>
      <c r="P18" s="718">
        <f>+'ARR-Summary'!Q14</f>
        <v>2.5797702010748829</v>
      </c>
      <c r="Q18" s="728">
        <v>2.6</v>
      </c>
      <c r="R18" s="718">
        <f>+'ARR-Summary'!S14</f>
        <v>2.6272902010748829</v>
      </c>
    </row>
    <row r="19" spans="2:18">
      <c r="B19" s="92">
        <f t="shared" si="3"/>
        <v>7</v>
      </c>
      <c r="C19" s="31" t="s">
        <v>218</v>
      </c>
      <c r="D19" s="718">
        <f>D15-D16+D17-D18</f>
        <v>30.18</v>
      </c>
      <c r="E19" s="718">
        <f>E15-E16+E17-E18</f>
        <v>33.339192142504864</v>
      </c>
      <c r="F19" s="466">
        <f t="shared" si="0"/>
        <v>3.1591921425048639</v>
      </c>
      <c r="G19" s="718">
        <f>G15-G16+G17-G18</f>
        <v>28.439999999999998</v>
      </c>
      <c r="H19" s="718">
        <f>H15-H16+H17-H18</f>
        <v>31.190516166089854</v>
      </c>
      <c r="I19" s="466">
        <f t="shared" si="1"/>
        <v>2.7505161660898558</v>
      </c>
      <c r="J19" s="718">
        <f>J15-J16+J17-J18</f>
        <v>28.620000000000005</v>
      </c>
      <c r="K19" s="466"/>
      <c r="L19" s="466"/>
      <c r="M19" s="718">
        <f>M15-M16+M17-M18</f>
        <v>28.939593965014971</v>
      </c>
      <c r="N19" s="466">
        <f t="shared" si="2"/>
        <v>0.31959396501496684</v>
      </c>
      <c r="O19" s="718">
        <f>O15-O16+O17-O18</f>
        <v>28.17</v>
      </c>
      <c r="P19" s="718">
        <f>P15-P16+P17-P18</f>
        <v>26.989823763940084</v>
      </c>
      <c r="Q19" s="718">
        <f>Q15-Q16+Q17-Q18</f>
        <v>25.56</v>
      </c>
      <c r="R19" s="718">
        <f>R15-R16+R17-R18</f>
        <v>24.982533562865207</v>
      </c>
    </row>
    <row r="20" spans="2:18">
      <c r="B20" s="92">
        <f t="shared" si="3"/>
        <v>8</v>
      </c>
      <c r="C20" s="31" t="s">
        <v>219</v>
      </c>
      <c r="D20" s="718">
        <f>D13+D17</f>
        <v>32.28</v>
      </c>
      <c r="E20" s="718">
        <f>E13+E17</f>
        <v>35.621912970389836</v>
      </c>
      <c r="F20" s="466">
        <f t="shared" si="0"/>
        <v>3.3419129703898349</v>
      </c>
      <c r="G20" s="718">
        <f>G13+G17</f>
        <v>32.81</v>
      </c>
      <c r="H20" s="718">
        <f>H13+H17</f>
        <v>35.99307315384511</v>
      </c>
      <c r="I20" s="466">
        <f t="shared" si="1"/>
        <v>3.1830731538451076</v>
      </c>
      <c r="J20" s="718">
        <f>J13+J17</f>
        <v>35.36</v>
      </c>
      <c r="K20" s="466"/>
      <c r="L20" s="466"/>
      <c r="M20" s="718">
        <f>M13+M17</f>
        <v>36.287073153845107</v>
      </c>
      <c r="N20" s="466">
        <f t="shared" si="2"/>
        <v>0.92707315384510736</v>
      </c>
      <c r="O20" s="718">
        <f>O13+O17</f>
        <v>37.43</v>
      </c>
      <c r="P20" s="718">
        <f>P13+P17</f>
        <v>36.917073153845109</v>
      </c>
      <c r="Q20" s="718">
        <f>Q13+Q17</f>
        <v>37.43</v>
      </c>
      <c r="R20" s="718">
        <f>R13+R17</f>
        <v>37.547073153845112</v>
      </c>
    </row>
    <row r="21" spans="2:18">
      <c r="B21" s="92">
        <v>9</v>
      </c>
      <c r="C21" s="31" t="s">
        <v>454</v>
      </c>
      <c r="D21" s="718">
        <f>AVERAGE(D15,D19)</f>
        <v>30.245000000000001</v>
      </c>
      <c r="E21" s="718">
        <f>AVERAGE(E15,E19)</f>
        <v>31.824596071252433</v>
      </c>
      <c r="F21" s="466">
        <f t="shared" si="0"/>
        <v>1.579596071252432</v>
      </c>
      <c r="G21" s="718">
        <f>AVERAGE(G15,G19)</f>
        <v>29.305</v>
      </c>
      <c r="H21" s="718">
        <f>AVERAGE(H15,H19)</f>
        <v>32.26485415429736</v>
      </c>
      <c r="I21" s="466">
        <f t="shared" si="1"/>
        <v>2.9598541542973607</v>
      </c>
      <c r="J21" s="718">
        <f>AVERAGE(J15,J19)</f>
        <v>28.530000000000005</v>
      </c>
      <c r="K21" s="466"/>
      <c r="L21" s="466"/>
      <c r="M21" s="718">
        <f>AVERAGE(M15,M19)</f>
        <v>30.065055065552414</v>
      </c>
      <c r="N21" s="466">
        <f t="shared" si="2"/>
        <v>1.5350550655524096</v>
      </c>
      <c r="O21" s="718">
        <f>AVERAGE(O15,O19)</f>
        <v>28.395000000000003</v>
      </c>
      <c r="P21" s="718">
        <f>AVERAGE(P15,P19)</f>
        <v>27.964708864477526</v>
      </c>
      <c r="Q21" s="718">
        <f>AVERAGE(Q15,Q19)</f>
        <v>26.86</v>
      </c>
      <c r="R21" s="718">
        <f>AVERAGE(R15,R19)</f>
        <v>25.981178663402648</v>
      </c>
    </row>
    <row r="22" spans="2:18">
      <c r="B22" s="92">
        <v>10</v>
      </c>
      <c r="C22" s="846" t="s">
        <v>455</v>
      </c>
      <c r="D22" s="1154">
        <v>0.1115</v>
      </c>
      <c r="E22" s="1154">
        <v>0.1115</v>
      </c>
      <c r="F22" s="560">
        <f t="shared" si="0"/>
        <v>0</v>
      </c>
      <c r="G22" s="1154">
        <v>0.109</v>
      </c>
      <c r="H22" s="1154">
        <f>+'Actual Loan'!N10</f>
        <v>0.10572054794520548</v>
      </c>
      <c r="I22" s="560">
        <f t="shared" si="1"/>
        <v>-3.2794520547945183E-3</v>
      </c>
      <c r="J22" s="1154">
        <v>0.109</v>
      </c>
      <c r="K22" s="560"/>
      <c r="L22" s="560"/>
      <c r="M22" s="1154">
        <f>+'Actual Loan'!O11</f>
        <v>0.1045</v>
      </c>
      <c r="N22" s="560">
        <f t="shared" si="2"/>
        <v>-4.500000000000004E-3</v>
      </c>
      <c r="O22" s="1154">
        <v>0.109</v>
      </c>
      <c r="P22" s="1154">
        <f>+'Actual Loan'!R11</f>
        <v>9.2499999999999999E-2</v>
      </c>
      <c r="Q22" s="1154">
        <v>0.109</v>
      </c>
      <c r="R22" s="1154">
        <f>+'Actual Loan'!S11</f>
        <v>9.2499999999999999E-2</v>
      </c>
    </row>
    <row r="23" spans="2:18">
      <c r="B23" s="92">
        <v>11</v>
      </c>
      <c r="C23" s="846" t="s">
        <v>47</v>
      </c>
      <c r="D23" s="847">
        <f>D21*D22*358/366</f>
        <v>3.2986056420765029</v>
      </c>
      <c r="E23" s="847">
        <f>E21*E22*358/366</f>
        <v>3.4708808780770033</v>
      </c>
      <c r="F23" s="466">
        <f t="shared" si="0"/>
        <v>0.17227523600050043</v>
      </c>
      <c r="G23" s="847">
        <f>G21*G22</f>
        <v>3.194245</v>
      </c>
      <c r="H23" s="847">
        <f>H21*H22</f>
        <v>3.4110580605644563</v>
      </c>
      <c r="I23" s="466">
        <f t="shared" si="1"/>
        <v>0.21681306056445626</v>
      </c>
      <c r="J23" s="847">
        <f>J21*J22</f>
        <v>3.1097700000000006</v>
      </c>
      <c r="K23" s="466"/>
      <c r="L23" s="466"/>
      <c r="M23" s="847">
        <f>M21*M22</f>
        <v>3.1417982543502272</v>
      </c>
      <c r="N23" s="466">
        <f t="shared" si="2"/>
        <v>3.2028254350226604E-2</v>
      </c>
      <c r="O23" s="847">
        <f>O21*O22-0.01</f>
        <v>3.0850550000000005</v>
      </c>
      <c r="P23" s="847">
        <f>P21*P22</f>
        <v>2.586735569964171</v>
      </c>
      <c r="Q23" s="847">
        <f>Q21*Q22</f>
        <v>2.92774</v>
      </c>
      <c r="R23" s="847">
        <f>R21*R22</f>
        <v>2.4032590263647449</v>
      </c>
    </row>
    <row r="24" spans="2:18">
      <c r="B24" s="92">
        <v>12</v>
      </c>
      <c r="C24" s="31" t="s">
        <v>221</v>
      </c>
      <c r="D24" s="718">
        <v>0</v>
      </c>
      <c r="E24" s="718">
        <f>3630000/10^7</f>
        <v>0.36299999999999999</v>
      </c>
      <c r="F24" s="466">
        <f t="shared" si="0"/>
        <v>0.36299999999999999</v>
      </c>
      <c r="G24" s="718">
        <v>0</v>
      </c>
      <c r="H24" s="953">
        <f>9000/10^7</f>
        <v>8.9999999999999998E-4</v>
      </c>
      <c r="I24" s="953">
        <f t="shared" si="1"/>
        <v>8.9999999999999998E-4</v>
      </c>
      <c r="J24" s="466">
        <v>0</v>
      </c>
      <c r="K24" s="466"/>
      <c r="L24" s="466"/>
      <c r="M24" s="466">
        <v>0</v>
      </c>
      <c r="N24" s="466">
        <f t="shared" si="2"/>
        <v>0</v>
      </c>
      <c r="O24" s="728">
        <v>0</v>
      </c>
      <c r="P24" s="466">
        <v>0</v>
      </c>
      <c r="Q24" s="728">
        <v>0</v>
      </c>
      <c r="R24" s="466">
        <v>0</v>
      </c>
    </row>
    <row r="25" spans="2:18">
      <c r="B25" s="93">
        <v>13</v>
      </c>
      <c r="C25" s="30" t="s">
        <v>456</v>
      </c>
      <c r="D25" s="719">
        <f>D23+D24</f>
        <v>3.2986056420765029</v>
      </c>
      <c r="E25" s="719">
        <f>E23+E24</f>
        <v>3.8338808780770033</v>
      </c>
      <c r="F25" s="468">
        <f t="shared" si="0"/>
        <v>0.53527523600050042</v>
      </c>
      <c r="G25" s="719">
        <f>G23+G24</f>
        <v>3.194245</v>
      </c>
      <c r="H25" s="719">
        <f>H23+H24</f>
        <v>3.4119580605644564</v>
      </c>
      <c r="I25" s="468">
        <f t="shared" si="1"/>
        <v>0.21771306056445638</v>
      </c>
      <c r="J25" s="719">
        <f>J23+J24</f>
        <v>3.1097700000000006</v>
      </c>
      <c r="K25" s="468"/>
      <c r="L25" s="468"/>
      <c r="M25" s="719">
        <f>M23+M24</f>
        <v>3.1417982543502272</v>
      </c>
      <c r="N25" s="468">
        <f t="shared" si="2"/>
        <v>3.2028254350226604E-2</v>
      </c>
      <c r="O25" s="719">
        <f>O23+O24</f>
        <v>3.0850550000000005</v>
      </c>
      <c r="P25" s="719">
        <f>P23+P24</f>
        <v>2.586735569964171</v>
      </c>
      <c r="Q25" s="719">
        <f>Q23+Q24</f>
        <v>2.92774</v>
      </c>
      <c r="R25" s="719">
        <f>R23+R24</f>
        <v>2.4032590263647449</v>
      </c>
    </row>
    <row r="26" spans="2:18">
      <c r="B26" s="212"/>
      <c r="C26" s="213"/>
      <c r="D26" s="213"/>
      <c r="E26" s="165"/>
      <c r="F26" s="165"/>
      <c r="G26" s="165"/>
      <c r="H26" s="165"/>
      <c r="I26" s="165"/>
      <c r="J26" s="165"/>
      <c r="K26" s="165"/>
      <c r="L26" s="165"/>
      <c r="M26" s="165"/>
      <c r="N26" s="165"/>
      <c r="O26" s="28"/>
      <c r="P26" s="28"/>
      <c r="Q26" s="28"/>
      <c r="R26" s="28"/>
    </row>
    <row r="27" spans="2:18" s="155" customFormat="1">
      <c r="B27" s="62" t="s">
        <v>513</v>
      </c>
      <c r="C27" s="406" t="s">
        <v>742</v>
      </c>
      <c r="D27" s="154"/>
      <c r="E27" s="22"/>
      <c r="F27" s="22"/>
      <c r="G27" s="22"/>
      <c r="H27" s="850"/>
      <c r="I27" s="25"/>
      <c r="J27" s="24"/>
      <c r="K27" s="22"/>
      <c r="L27" s="22"/>
      <c r="M27" s="22"/>
      <c r="N27" s="22"/>
      <c r="O27" s="22"/>
      <c r="P27" s="22"/>
    </row>
    <row r="28" spans="2:18" s="155" customFormat="1">
      <c r="B28" s="62"/>
      <c r="C28" s="18" t="s">
        <v>747</v>
      </c>
      <c r="E28" s="22"/>
      <c r="F28" s="22"/>
      <c r="G28" s="22"/>
      <c r="H28" s="850"/>
      <c r="I28" s="25"/>
      <c r="J28" s="24"/>
      <c r="K28" s="22"/>
      <c r="L28" s="22"/>
      <c r="M28" s="22"/>
      <c r="N28" s="22"/>
      <c r="O28" s="22"/>
      <c r="P28" s="22"/>
    </row>
    <row r="29" spans="2:18" s="155" customFormat="1">
      <c r="B29" s="62"/>
      <c r="C29" s="18"/>
      <c r="E29" s="22"/>
      <c r="F29" s="22"/>
      <c r="G29" s="22"/>
      <c r="H29" s="851"/>
      <c r="I29" s="25"/>
      <c r="J29" s="24"/>
      <c r="K29" s="22"/>
      <c r="L29" s="22"/>
      <c r="M29" s="22"/>
      <c r="N29" s="22"/>
      <c r="O29" s="22"/>
      <c r="P29" s="22"/>
    </row>
    <row r="30" spans="2:18">
      <c r="C30" s="243" t="s">
        <v>457</v>
      </c>
      <c r="D30" s="243"/>
    </row>
    <row r="31" spans="2:18">
      <c r="J31" s="26" t="s">
        <v>16</v>
      </c>
    </row>
    <row r="32" spans="2:18" s="389" customFormat="1" ht="25.9" customHeight="1">
      <c r="B32" s="1363" t="s">
        <v>160</v>
      </c>
      <c r="C32" s="1363" t="s">
        <v>41</v>
      </c>
      <c r="D32" s="808" t="s">
        <v>38</v>
      </c>
      <c r="E32" s="808" t="s">
        <v>146</v>
      </c>
      <c r="F32" s="1363" t="s">
        <v>147</v>
      </c>
      <c r="G32" s="1363"/>
      <c r="H32" s="1363"/>
      <c r="I32" s="808" t="s">
        <v>148</v>
      </c>
      <c r="J32" s="808" t="s">
        <v>149</v>
      </c>
      <c r="K32" s="18"/>
      <c r="L32" s="18"/>
      <c r="M32" s="18"/>
      <c r="N32" s="18"/>
      <c r="O32" s="18"/>
      <c r="P32" s="18"/>
      <c r="Q32" s="18"/>
    </row>
    <row r="33" spans="2:17" s="389" customFormat="1" ht="31.5" customHeight="1">
      <c r="B33" s="1363"/>
      <c r="C33" s="1363"/>
      <c r="D33" s="808" t="s">
        <v>414</v>
      </c>
      <c r="E33" s="808" t="s">
        <v>414</v>
      </c>
      <c r="F33" s="808" t="s">
        <v>673</v>
      </c>
      <c r="G33" s="808" t="s">
        <v>717</v>
      </c>
      <c r="H33" s="808" t="s">
        <v>718</v>
      </c>
      <c r="I33" s="808" t="s">
        <v>671</v>
      </c>
      <c r="J33" s="808" t="s">
        <v>671</v>
      </c>
      <c r="K33" s="18"/>
      <c r="L33" s="18"/>
      <c r="M33" s="18"/>
      <c r="N33" s="18"/>
      <c r="O33" s="18"/>
      <c r="P33" s="18"/>
      <c r="Q33" s="18"/>
    </row>
    <row r="34" spans="2:17" s="389" customFormat="1">
      <c r="B34" s="871"/>
      <c r="C34" s="872" t="s">
        <v>1059</v>
      </c>
      <c r="D34" s="871"/>
      <c r="E34" s="871"/>
      <c r="F34" s="871"/>
      <c r="G34" s="871"/>
      <c r="H34" s="871"/>
      <c r="I34" s="871"/>
      <c r="J34" s="871"/>
      <c r="K34" s="18"/>
      <c r="L34" s="18"/>
      <c r="M34" s="18"/>
      <c r="N34" s="18"/>
      <c r="O34" s="18"/>
      <c r="P34" s="18"/>
      <c r="Q34" s="18"/>
    </row>
    <row r="35" spans="2:17">
      <c r="B35" s="92">
        <v>1.1000000000000001</v>
      </c>
      <c r="C35" s="31" t="s">
        <v>43</v>
      </c>
      <c r="D35" s="730">
        <f>+'Actual Loan'!M25</f>
        <v>60.128130626999997</v>
      </c>
      <c r="E35" s="466">
        <f>D39</f>
        <v>58.80230534667465</v>
      </c>
      <c r="F35" s="466">
        <f t="shared" ref="F35:J35" si="4">E39</f>
        <v>55.961251174548899</v>
      </c>
      <c r="G35" s="466">
        <f t="shared" si="4"/>
        <v>53.5681515755943</v>
      </c>
      <c r="H35" s="466">
        <f>+F35</f>
        <v>55.961251174548899</v>
      </c>
      <c r="I35" s="466">
        <f>H39</f>
        <v>51.352429961989351</v>
      </c>
      <c r="J35" s="466">
        <f t="shared" si="4"/>
        <v>45.760513813678351</v>
      </c>
    </row>
    <row r="36" spans="2:17">
      <c r="B36" s="92">
        <f t="shared" ref="B36:B39" si="5">B35+0.1</f>
        <v>1.2000000000000002</v>
      </c>
      <c r="C36" s="31" t="s">
        <v>217</v>
      </c>
      <c r="D36" s="730">
        <v>0</v>
      </c>
      <c r="E36" s="466">
        <v>0</v>
      </c>
      <c r="F36" s="466">
        <v>0</v>
      </c>
      <c r="G36" s="466">
        <v>0</v>
      </c>
      <c r="H36" s="466">
        <v>0</v>
      </c>
      <c r="I36" s="466">
        <v>0</v>
      </c>
      <c r="J36" s="466">
        <v>0</v>
      </c>
    </row>
    <row r="37" spans="2:17">
      <c r="B37" s="92">
        <f t="shared" si="5"/>
        <v>1.3000000000000003</v>
      </c>
      <c r="C37" s="31" t="s">
        <v>159</v>
      </c>
      <c r="D37" s="730">
        <v>0</v>
      </c>
      <c r="E37" s="466">
        <v>0</v>
      </c>
      <c r="F37" s="466">
        <v>0</v>
      </c>
      <c r="G37" s="466">
        <v>0</v>
      </c>
      <c r="H37" s="466">
        <v>0</v>
      </c>
      <c r="I37" s="466">
        <v>0</v>
      </c>
      <c r="J37" s="466">
        <v>0</v>
      </c>
    </row>
    <row r="38" spans="2:17">
      <c r="B38" s="92">
        <f t="shared" si="5"/>
        <v>1.4000000000000004</v>
      </c>
      <c r="C38" s="31" t="s">
        <v>44</v>
      </c>
      <c r="D38" s="730">
        <f>+'Actual Loan'!M26</f>
        <v>1.3258252803253501</v>
      </c>
      <c r="E38" s="730">
        <f>+'Actual Loan'!N26</f>
        <v>2.8410541721257498</v>
      </c>
      <c r="F38" s="730">
        <f>+'Actual Loan'!O26</f>
        <v>2.3930995989546</v>
      </c>
      <c r="G38" s="730">
        <f>+'Actual Loan'!P26</f>
        <v>2.2157216136049498</v>
      </c>
      <c r="H38" s="730">
        <f>+F38+G38</f>
        <v>4.6088212125595494</v>
      </c>
      <c r="I38" s="730">
        <f>+'Actual Loan'!R26</f>
        <v>5.5919161483109994</v>
      </c>
      <c r="J38" s="730">
        <f>+'Actual Loan'!S26</f>
        <v>6.2683576178647504</v>
      </c>
    </row>
    <row r="39" spans="2:17">
      <c r="B39" s="92">
        <f t="shared" si="5"/>
        <v>1.5000000000000004</v>
      </c>
      <c r="C39" s="31" t="s">
        <v>45</v>
      </c>
      <c r="D39" s="730">
        <f>D35-D38</f>
        <v>58.80230534667465</v>
      </c>
      <c r="E39" s="730">
        <f>E35-E38</f>
        <v>55.961251174548899</v>
      </c>
      <c r="F39" s="730">
        <f>F35-F38</f>
        <v>53.5681515755943</v>
      </c>
      <c r="G39" s="730">
        <f>G35-G38</f>
        <v>51.352429961989351</v>
      </c>
      <c r="H39" s="730">
        <f>H35-H38</f>
        <v>51.352429961989351</v>
      </c>
      <c r="I39" s="730">
        <f t="shared" ref="I39:J39" si="6">I35-I38</f>
        <v>45.760513813678351</v>
      </c>
      <c r="J39" s="730">
        <f t="shared" si="6"/>
        <v>39.4921561958136</v>
      </c>
    </row>
    <row r="40" spans="2:17">
      <c r="B40" s="92">
        <f>B39+0.1</f>
        <v>1.6000000000000005</v>
      </c>
      <c r="C40" s="31" t="s">
        <v>458</v>
      </c>
      <c r="D40" s="730">
        <f t="shared" ref="D40:J40" si="7">+AVERAGE(D35,D39)</f>
        <v>59.465217986837324</v>
      </c>
      <c r="E40" s="730">
        <f t="shared" si="7"/>
        <v>57.381778260611775</v>
      </c>
      <c r="F40" s="730">
        <f t="shared" si="7"/>
        <v>54.764701375071596</v>
      </c>
      <c r="G40" s="730">
        <f t="shared" si="7"/>
        <v>52.460290768791822</v>
      </c>
      <c r="H40" s="730">
        <f t="shared" si="7"/>
        <v>53.656840568269125</v>
      </c>
      <c r="I40" s="730">
        <f t="shared" si="7"/>
        <v>48.556471887833851</v>
      </c>
      <c r="J40" s="730">
        <f t="shared" si="7"/>
        <v>42.626335004745975</v>
      </c>
    </row>
    <row r="41" spans="2:17">
      <c r="B41" s="92">
        <f>B40+0.1</f>
        <v>1.7000000000000006</v>
      </c>
      <c r="C41" s="31" t="s">
        <v>1060</v>
      </c>
      <c r="D41" s="848">
        <f>+'Actual Loan'!M10</f>
        <v>0.11022206703910614</v>
      </c>
      <c r="E41" s="848">
        <f>+'Actual Loan'!N10</f>
        <v>0.10572054794520548</v>
      </c>
      <c r="F41" s="848">
        <f>+'Actual Loan'!O10</f>
        <v>9.5241116751269034E-2</v>
      </c>
      <c r="G41" s="848">
        <f>+'Actual Loan'!P10</f>
        <v>9.2499999999999999E-2</v>
      </c>
      <c r="H41" s="848">
        <f>+'Actual Loan'!Q10</f>
        <v>9.3979452054794521E-2</v>
      </c>
      <c r="I41" s="848">
        <f>+'Actual Loan'!R10</f>
        <v>9.2500000000000013E-2</v>
      </c>
      <c r="J41" s="848">
        <f>+'Actual Loan'!S10</f>
        <v>9.2499999999999985E-2</v>
      </c>
    </row>
    <row r="42" spans="2:17">
      <c r="B42" s="92">
        <f>B41+0.1</f>
        <v>1.8000000000000007</v>
      </c>
      <c r="C42" s="31" t="s">
        <v>47</v>
      </c>
      <c r="D42" s="730">
        <f>+'Actual Loan'!M28</f>
        <v>5.7074943339247275</v>
      </c>
      <c r="E42" s="730">
        <f>+'Actual Loan'!N28</f>
        <v>6.0882952327150823</v>
      </c>
      <c r="F42" s="730">
        <f>+'Actual Loan'!O28</f>
        <v>2.830220804463381</v>
      </c>
      <c r="G42" s="730">
        <f>+'Actual Loan'!P28</f>
        <v>2.2416823870233191</v>
      </c>
      <c r="H42" s="730">
        <f>+'Actual Loan'!Q28</f>
        <v>5.0719031914867001</v>
      </c>
      <c r="I42" s="730">
        <f>+'Actual Loan'!R28</f>
        <v>4.5163046525338055</v>
      </c>
      <c r="J42" s="730">
        <f>+'Actual Loan'!S28</f>
        <v>3.9793695476215909</v>
      </c>
    </row>
    <row r="44" spans="2:17">
      <c r="C44" s="243" t="s">
        <v>459</v>
      </c>
      <c r="D44" s="243"/>
    </row>
    <row r="45" spans="2:17">
      <c r="B45" s="18"/>
      <c r="J45" s="26" t="s">
        <v>16</v>
      </c>
    </row>
    <row r="46" spans="2:17" s="389" customFormat="1" ht="25.9" customHeight="1">
      <c r="B46" s="1363" t="s">
        <v>160</v>
      </c>
      <c r="C46" s="1363" t="s">
        <v>41</v>
      </c>
      <c r="D46" s="808" t="s">
        <v>38</v>
      </c>
      <c r="E46" s="808" t="s">
        <v>146</v>
      </c>
      <c r="F46" s="1363" t="s">
        <v>147</v>
      </c>
      <c r="G46" s="1363"/>
      <c r="H46" s="1363"/>
      <c r="I46" s="808" t="s">
        <v>148</v>
      </c>
      <c r="J46" s="808" t="s">
        <v>149</v>
      </c>
    </row>
    <row r="47" spans="2:17" s="389" customFormat="1" ht="31.5" customHeight="1">
      <c r="B47" s="1363"/>
      <c r="C47" s="1363"/>
      <c r="D47" s="808" t="s">
        <v>414</v>
      </c>
      <c r="E47" s="808" t="s">
        <v>414</v>
      </c>
      <c r="F47" s="808" t="s">
        <v>673</v>
      </c>
      <c r="G47" s="808" t="s">
        <v>717</v>
      </c>
      <c r="H47" s="808" t="s">
        <v>718</v>
      </c>
      <c r="I47" s="808" t="s">
        <v>671</v>
      </c>
      <c r="J47" s="808" t="s">
        <v>671</v>
      </c>
    </row>
    <row r="48" spans="2:17">
      <c r="B48" s="92">
        <v>1.1000000000000001</v>
      </c>
      <c r="C48" s="31" t="s">
        <v>43</v>
      </c>
      <c r="D48" s="18" t="s">
        <v>822</v>
      </c>
      <c r="E48" s="466">
        <v>0</v>
      </c>
      <c r="F48" s="466">
        <f>+E52</f>
        <v>0</v>
      </c>
      <c r="G48" s="466">
        <f t="shared" ref="G48:J48" si="8">+F52</f>
        <v>0</v>
      </c>
      <c r="H48" s="466">
        <f t="shared" si="8"/>
        <v>0</v>
      </c>
      <c r="I48" s="466">
        <f t="shared" si="8"/>
        <v>0</v>
      </c>
      <c r="J48" s="466">
        <f t="shared" si="8"/>
        <v>0</v>
      </c>
      <c r="K48" s="389"/>
      <c r="L48" s="389"/>
      <c r="M48" s="389"/>
      <c r="N48" s="389"/>
      <c r="O48" s="389"/>
      <c r="P48" s="389"/>
      <c r="Q48" s="389"/>
    </row>
    <row r="49" spans="2:18">
      <c r="B49" s="92">
        <f t="shared" ref="B49:B52" si="9">B48+0.1</f>
        <v>1.2000000000000002</v>
      </c>
      <c r="C49" s="31" t="s">
        <v>217</v>
      </c>
      <c r="E49" s="466">
        <v>0</v>
      </c>
      <c r="F49" s="466">
        <v>0</v>
      </c>
      <c r="G49" s="466">
        <v>0</v>
      </c>
      <c r="H49" s="466">
        <v>0</v>
      </c>
      <c r="I49" s="466">
        <v>0</v>
      </c>
      <c r="J49" s="466">
        <v>0</v>
      </c>
      <c r="K49" s="389"/>
      <c r="L49" s="389"/>
      <c r="M49" s="389"/>
      <c r="N49" s="389"/>
      <c r="O49" s="389"/>
      <c r="P49" s="389"/>
      <c r="Q49" s="389"/>
    </row>
    <row r="50" spans="2:18">
      <c r="B50" s="92">
        <f t="shared" si="9"/>
        <v>1.3000000000000003</v>
      </c>
      <c r="C50" s="31" t="s">
        <v>159</v>
      </c>
      <c r="E50" s="466">
        <v>0</v>
      </c>
      <c r="F50" s="466">
        <v>0</v>
      </c>
      <c r="G50" s="466">
        <v>0</v>
      </c>
      <c r="H50" s="466">
        <v>0</v>
      </c>
      <c r="I50" s="466">
        <v>0</v>
      </c>
      <c r="J50" s="466">
        <v>0</v>
      </c>
      <c r="K50" s="389"/>
      <c r="L50" s="389"/>
      <c r="M50" s="389"/>
      <c r="N50" s="389"/>
      <c r="O50" s="389"/>
      <c r="P50" s="389"/>
      <c r="Q50" s="389"/>
    </row>
    <row r="51" spans="2:18">
      <c r="B51" s="92">
        <f t="shared" si="9"/>
        <v>1.4000000000000004</v>
      </c>
      <c r="C51" s="31" t="s">
        <v>44</v>
      </c>
      <c r="E51" s="466">
        <v>0</v>
      </c>
      <c r="F51" s="466">
        <v>0</v>
      </c>
      <c r="G51" s="466">
        <v>0</v>
      </c>
      <c r="H51" s="466">
        <v>0</v>
      </c>
      <c r="I51" s="466">
        <v>0</v>
      </c>
      <c r="J51" s="466">
        <v>0</v>
      </c>
      <c r="K51" s="389"/>
      <c r="L51" s="389"/>
      <c r="M51" s="389"/>
      <c r="N51" s="389"/>
      <c r="O51" s="389"/>
      <c r="P51" s="389"/>
      <c r="Q51" s="389"/>
    </row>
    <row r="52" spans="2:18">
      <c r="B52" s="92">
        <f t="shared" si="9"/>
        <v>1.5000000000000004</v>
      </c>
      <c r="C52" s="31" t="s">
        <v>45</v>
      </c>
      <c r="E52" s="466">
        <f>+E48-E49+E50-E51</f>
        <v>0</v>
      </c>
      <c r="F52" s="466">
        <f t="shared" ref="F52" si="10">+F48-F49+F50-F51</f>
        <v>0</v>
      </c>
      <c r="G52" s="466">
        <f t="shared" ref="G52" si="11">+G48-G49+G50-G51</f>
        <v>0</v>
      </c>
      <c r="H52" s="466">
        <f t="shared" ref="H52" si="12">+H48-H49+H50-H51</f>
        <v>0</v>
      </c>
      <c r="I52" s="466">
        <f t="shared" ref="I52" si="13">+I48-I49+I50-I51</f>
        <v>0</v>
      </c>
      <c r="J52" s="466">
        <f t="shared" ref="J52" si="14">+J48-J49+J50-J51</f>
        <v>0</v>
      </c>
      <c r="K52" s="389"/>
      <c r="L52" s="389"/>
      <c r="M52" s="389"/>
      <c r="N52" s="389"/>
      <c r="O52" s="389"/>
      <c r="P52" s="389"/>
      <c r="Q52" s="389"/>
    </row>
    <row r="53" spans="2:18">
      <c r="B53" s="92">
        <f>B52+0.1</f>
        <v>1.6000000000000005</v>
      </c>
      <c r="C53" s="31" t="s">
        <v>458</v>
      </c>
      <c r="E53" s="466">
        <f>+AVERAGE(E48,E52)</f>
        <v>0</v>
      </c>
      <c r="F53" s="466">
        <f t="shared" ref="F53" si="15">+AVERAGE(F48,F52)</f>
        <v>0</v>
      </c>
      <c r="G53" s="466">
        <f t="shared" ref="G53" si="16">+AVERAGE(G48,G52)</f>
        <v>0</v>
      </c>
      <c r="H53" s="466">
        <f t="shared" ref="H53" si="17">+AVERAGE(H48,H52)</f>
        <v>0</v>
      </c>
      <c r="I53" s="466">
        <f t="shared" ref="I53" si="18">+AVERAGE(I48,I52)</f>
        <v>0</v>
      </c>
      <c r="J53" s="466">
        <f t="shared" ref="J53" si="19">+AVERAGE(J48,J52)</f>
        <v>0</v>
      </c>
      <c r="K53" s="389"/>
      <c r="L53" s="389"/>
      <c r="M53" s="389"/>
      <c r="N53" s="389"/>
      <c r="O53" s="389"/>
      <c r="P53" s="389"/>
      <c r="Q53" s="389"/>
    </row>
    <row r="54" spans="2:18">
      <c r="B54" s="92">
        <f>B53+0.1</f>
        <v>1.7000000000000006</v>
      </c>
      <c r="C54" s="731" t="s">
        <v>46</v>
      </c>
      <c r="E54" s="466">
        <v>0</v>
      </c>
      <c r="F54" s="466">
        <v>0</v>
      </c>
      <c r="G54" s="466">
        <v>0</v>
      </c>
      <c r="H54" s="466">
        <v>0</v>
      </c>
      <c r="I54" s="466">
        <v>0</v>
      </c>
      <c r="J54" s="466">
        <v>0</v>
      </c>
      <c r="K54" s="389"/>
      <c r="L54" s="389"/>
      <c r="M54" s="389"/>
      <c r="N54" s="389"/>
      <c r="O54" s="389"/>
      <c r="P54" s="389"/>
      <c r="Q54" s="389"/>
    </row>
    <row r="55" spans="2:18">
      <c r="B55" s="92">
        <f>B54+0.1</f>
        <v>1.8000000000000007</v>
      </c>
      <c r="C55" s="31" t="s">
        <v>47</v>
      </c>
      <c r="D55" s="29"/>
      <c r="E55" s="466">
        <f>+E53*E54</f>
        <v>0</v>
      </c>
      <c r="F55" s="466">
        <f t="shared" ref="F55" si="20">+F53*F54</f>
        <v>0</v>
      </c>
      <c r="G55" s="466">
        <f t="shared" ref="G55" si="21">+G53*G54</f>
        <v>0</v>
      </c>
      <c r="H55" s="466">
        <f t="shared" ref="H55" si="22">+H53*H54</f>
        <v>0</v>
      </c>
      <c r="I55" s="466">
        <f t="shared" ref="I55" si="23">+I53*I54</f>
        <v>0</v>
      </c>
      <c r="J55" s="466">
        <f t="shared" ref="J55" si="24">+J53*J54</f>
        <v>0</v>
      </c>
      <c r="K55" s="389"/>
      <c r="L55" s="389"/>
      <c r="M55" s="389"/>
      <c r="N55" s="389"/>
      <c r="O55" s="389"/>
      <c r="P55" s="389"/>
      <c r="Q55" s="389"/>
    </row>
    <row r="57" spans="2:18" s="155" customFormat="1">
      <c r="B57" s="45"/>
      <c r="C57" s="243" t="s">
        <v>258</v>
      </c>
      <c r="D57" s="22"/>
      <c r="E57" s="25"/>
      <c r="F57" s="24"/>
      <c r="G57" s="22"/>
      <c r="H57" s="22"/>
      <c r="I57" s="22"/>
      <c r="J57" s="22"/>
      <c r="K57" s="22"/>
    </row>
    <row r="58" spans="2:18" s="155" customFormat="1">
      <c r="B58" s="45"/>
      <c r="C58" s="243"/>
      <c r="D58" s="22"/>
      <c r="E58" s="25"/>
      <c r="F58" s="24"/>
      <c r="G58" s="22"/>
      <c r="H58" s="22"/>
      <c r="I58" s="22"/>
      <c r="J58" s="22"/>
      <c r="K58" s="22"/>
    </row>
    <row r="59" spans="2:18" s="155" customFormat="1">
      <c r="B59" s="45"/>
      <c r="C59" s="243" t="s">
        <v>220</v>
      </c>
      <c r="D59" s="243"/>
      <c r="E59" s="22"/>
      <c r="F59" s="22"/>
      <c r="G59" s="22"/>
      <c r="H59" s="25"/>
      <c r="I59" s="25"/>
      <c r="J59" s="24"/>
      <c r="K59" s="22"/>
      <c r="L59" s="22"/>
      <c r="M59" s="22"/>
      <c r="N59" s="22"/>
      <c r="O59" s="22"/>
      <c r="P59" s="22"/>
    </row>
    <row r="60" spans="2:18" s="155" customFormat="1">
      <c r="B60" s="45"/>
      <c r="C60" s="154"/>
      <c r="D60" s="154"/>
      <c r="E60" s="22"/>
      <c r="F60" s="22"/>
      <c r="G60" s="22"/>
      <c r="H60" s="25"/>
      <c r="I60" s="25"/>
      <c r="J60" s="24"/>
      <c r="K60" s="22"/>
      <c r="L60" s="22"/>
      <c r="M60" s="22"/>
      <c r="O60" s="22"/>
      <c r="P60" s="22"/>
      <c r="R60" s="26" t="s">
        <v>16</v>
      </c>
    </row>
    <row r="61" spans="2:18" s="389" customFormat="1">
      <c r="B61" s="1355" t="s">
        <v>157</v>
      </c>
      <c r="C61" s="1358" t="s">
        <v>49</v>
      </c>
      <c r="D61" s="1360" t="s">
        <v>38</v>
      </c>
      <c r="E61" s="1361"/>
      <c r="F61" s="1362"/>
      <c r="G61" s="1360" t="s">
        <v>146</v>
      </c>
      <c r="H61" s="1361"/>
      <c r="I61" s="1362"/>
      <c r="J61" s="1360" t="s">
        <v>147</v>
      </c>
      <c r="K61" s="1361"/>
      <c r="L61" s="1361"/>
      <c r="M61" s="1361"/>
      <c r="N61" s="1362"/>
      <c r="O61" s="1360" t="s">
        <v>148</v>
      </c>
      <c r="P61" s="1362"/>
      <c r="Q61" s="1363" t="s">
        <v>149</v>
      </c>
      <c r="R61" s="1363"/>
    </row>
    <row r="62" spans="2:18" s="389" customFormat="1" ht="28.5">
      <c r="B62" s="1356"/>
      <c r="C62" s="1358"/>
      <c r="D62" s="808" t="s">
        <v>746</v>
      </c>
      <c r="E62" s="808" t="s">
        <v>414</v>
      </c>
      <c r="F62" s="808" t="s">
        <v>415</v>
      </c>
      <c r="G62" s="807" t="s">
        <v>413</v>
      </c>
      <c r="H62" s="808" t="s">
        <v>414</v>
      </c>
      <c r="I62" s="808" t="s">
        <v>415</v>
      </c>
      <c r="J62" s="808" t="s">
        <v>413</v>
      </c>
      <c r="K62" s="808" t="s">
        <v>416</v>
      </c>
      <c r="L62" s="808" t="s">
        <v>335</v>
      </c>
      <c r="M62" s="808" t="s">
        <v>71</v>
      </c>
      <c r="N62" s="808" t="s">
        <v>417</v>
      </c>
      <c r="O62" s="808" t="s">
        <v>413</v>
      </c>
      <c r="P62" s="808" t="s">
        <v>671</v>
      </c>
      <c r="Q62" s="808" t="s">
        <v>413</v>
      </c>
      <c r="R62" s="808" t="s">
        <v>671</v>
      </c>
    </row>
    <row r="63" spans="2:18" s="389" customFormat="1">
      <c r="B63" s="1473"/>
      <c r="C63" s="1474"/>
      <c r="D63" s="808" t="s">
        <v>72</v>
      </c>
      <c r="E63" s="808" t="s">
        <v>73</v>
      </c>
      <c r="F63" s="808" t="s">
        <v>705</v>
      </c>
      <c r="G63" s="808" t="s">
        <v>419</v>
      </c>
      <c r="H63" s="808" t="s">
        <v>420</v>
      </c>
      <c r="I63" s="808" t="s">
        <v>706</v>
      </c>
      <c r="J63" s="808" t="s">
        <v>676</v>
      </c>
      <c r="K63" s="808" t="s">
        <v>593</v>
      </c>
      <c r="L63" s="808" t="s">
        <v>677</v>
      </c>
      <c r="M63" s="808" t="s">
        <v>707</v>
      </c>
      <c r="N63" s="808" t="s">
        <v>708</v>
      </c>
      <c r="O63" s="808" t="s">
        <v>709</v>
      </c>
      <c r="P63" s="808" t="s">
        <v>596</v>
      </c>
      <c r="Q63" s="808" t="s">
        <v>710</v>
      </c>
      <c r="R63" s="808" t="s">
        <v>711</v>
      </c>
    </row>
    <row r="64" spans="2:18">
      <c r="B64" s="92">
        <v>1</v>
      </c>
      <c r="C64" s="31" t="s">
        <v>214</v>
      </c>
      <c r="D64" s="718">
        <f>+'F5.2'!D21*0.7</f>
        <v>0.99399999999999988</v>
      </c>
      <c r="E64" s="690">
        <f>+ASSUM!C27*'F5.2'!D21</f>
        <v>0.99399999999999988</v>
      </c>
      <c r="F64" s="466">
        <f>E64-D64</f>
        <v>0</v>
      </c>
      <c r="G64" s="690">
        <f>D71</f>
        <v>1.2839999999999998</v>
      </c>
      <c r="H64" s="690">
        <f>E71</f>
        <v>1.1682012996101652</v>
      </c>
      <c r="I64" s="466">
        <f>H64-G64</f>
        <v>-0.11579870038983464</v>
      </c>
      <c r="J64" s="690">
        <f>G71</f>
        <v>1.2939999999999998</v>
      </c>
      <c r="K64" s="29"/>
      <c r="L64" s="29"/>
      <c r="M64" s="690">
        <f>H71</f>
        <v>1.1803732961548885</v>
      </c>
      <c r="N64" s="466">
        <f>M64-J64</f>
        <v>-0.11362670384511131</v>
      </c>
      <c r="O64" s="690">
        <f>J71</f>
        <v>1.3039999999999998</v>
      </c>
      <c r="P64" s="466">
        <f>M71</f>
        <v>1.1803732961548885</v>
      </c>
      <c r="Q64" s="466">
        <f>O71</f>
        <v>1.3139999999999998</v>
      </c>
      <c r="R64" s="466">
        <f>P71</f>
        <v>1.1803732961548885</v>
      </c>
    </row>
    <row r="65" spans="2:19">
      <c r="B65" s="92">
        <f>B64+1</f>
        <v>2</v>
      </c>
      <c r="C65" s="31" t="s">
        <v>215</v>
      </c>
      <c r="D65" s="718">
        <v>0</v>
      </c>
      <c r="E65" s="718">
        <v>0</v>
      </c>
      <c r="F65" s="466">
        <f t="shared" ref="F65:F76" si="25">E65-D65</f>
        <v>0</v>
      </c>
      <c r="G65" s="552">
        <f>D69+D65</f>
        <v>0.08</v>
      </c>
      <c r="H65" s="552">
        <f>E69+E65</f>
        <v>8.1559907855027869E-2</v>
      </c>
      <c r="I65" s="466">
        <f t="shared" ref="I65:I76" si="26">H65-G65</f>
        <v>1.5599078550278672E-3</v>
      </c>
      <c r="J65" s="552">
        <f>G69+G65</f>
        <v>0.184</v>
      </c>
      <c r="K65" s="29"/>
      <c r="L65" s="29"/>
      <c r="M65" s="552">
        <f>H69+H65</f>
        <v>0.17089588418474416</v>
      </c>
      <c r="N65" s="466">
        <f t="shared" ref="N65:N76" si="27">M65-J65</f>
        <v>-1.3104115815255835E-2</v>
      </c>
      <c r="O65" s="552">
        <f>J69+J65</f>
        <v>0.28400000000000003</v>
      </c>
      <c r="P65" s="466">
        <f>M69+M65</f>
        <v>0.26069091866986149</v>
      </c>
      <c r="Q65" s="466">
        <f>O69+O65</f>
        <v>0.38400000000000001</v>
      </c>
      <c r="R65" s="466">
        <f>P69+P65</f>
        <v>0.35048595315497877</v>
      </c>
    </row>
    <row r="66" spans="2:19">
      <c r="B66" s="92">
        <f t="shared" ref="B66:B71" si="28">B65+1</f>
        <v>3</v>
      </c>
      <c r="C66" s="31" t="s">
        <v>216</v>
      </c>
      <c r="D66" s="718">
        <f>D64-D65</f>
        <v>0.99399999999999988</v>
      </c>
      <c r="E66" s="718">
        <f>E64-E65</f>
        <v>0.99399999999999988</v>
      </c>
      <c r="F66" s="466">
        <f t="shared" si="25"/>
        <v>0</v>
      </c>
      <c r="G66" s="718">
        <f>G64-G65</f>
        <v>1.2039999999999997</v>
      </c>
      <c r="H66" s="718">
        <f>H64-H65</f>
        <v>1.0866413917551374</v>
      </c>
      <c r="I66" s="466">
        <f t="shared" si="26"/>
        <v>-0.11735860824486233</v>
      </c>
      <c r="J66" s="718">
        <f>J64-J65</f>
        <v>1.1099999999999999</v>
      </c>
      <c r="K66" s="105"/>
      <c r="L66" s="105"/>
      <c r="M66" s="1170">
        <f>M64-M65</f>
        <v>1.0094774119701444</v>
      </c>
      <c r="N66" s="560">
        <f t="shared" si="27"/>
        <v>-0.10052258802985548</v>
      </c>
      <c r="O66" s="1170">
        <f>O64-O65</f>
        <v>1.0199999999999998</v>
      </c>
      <c r="P66" s="1170">
        <f>P64-P65</f>
        <v>0.91968237748502701</v>
      </c>
      <c r="Q66" s="1170">
        <f>Q64-Q65</f>
        <v>0.92999999999999983</v>
      </c>
      <c r="R66" s="1170">
        <f>R64-R65</f>
        <v>0.82988734299990974</v>
      </c>
      <c r="S66" s="331"/>
    </row>
    <row r="67" spans="2:19">
      <c r="B67" s="92">
        <f t="shared" si="28"/>
        <v>4</v>
      </c>
      <c r="C67" s="31" t="s">
        <v>741</v>
      </c>
      <c r="D67" s="718">
        <v>0</v>
      </c>
      <c r="E67" s="718">
        <v>0</v>
      </c>
      <c r="F67" s="466">
        <f t="shared" si="25"/>
        <v>0</v>
      </c>
      <c r="G67" s="466">
        <v>0</v>
      </c>
      <c r="H67" s="466">
        <v>0</v>
      </c>
      <c r="I67" s="466">
        <f t="shared" si="26"/>
        <v>0</v>
      </c>
      <c r="J67" s="466">
        <v>0</v>
      </c>
      <c r="K67" s="105"/>
      <c r="L67" s="105"/>
      <c r="M67" s="560">
        <v>0</v>
      </c>
      <c r="N67" s="560">
        <f t="shared" si="27"/>
        <v>0</v>
      </c>
      <c r="O67" s="560">
        <v>0</v>
      </c>
      <c r="P67" s="560">
        <v>0</v>
      </c>
      <c r="Q67" s="560">
        <v>0</v>
      </c>
      <c r="R67" s="560">
        <v>0</v>
      </c>
      <c r="S67" s="331"/>
    </row>
    <row r="68" spans="2:19">
      <c r="B68" s="92">
        <f t="shared" si="28"/>
        <v>5</v>
      </c>
      <c r="C68" s="31" t="s">
        <v>453</v>
      </c>
      <c r="D68" s="718">
        <v>0.28999999999999998</v>
      </c>
      <c r="E68" s="466">
        <f>+ASSUM!$C$27*'F4'!E30</f>
        <v>0.1742012996101652</v>
      </c>
      <c r="F68" s="466">
        <f t="shared" si="25"/>
        <v>-0.11579870038983478</v>
      </c>
      <c r="G68" s="466">
        <v>0.01</v>
      </c>
      <c r="H68" s="466">
        <f>+ASSUM!$D$27*'F4'!H30</f>
        <v>1.2171996544723406E-2</v>
      </c>
      <c r="I68" s="466">
        <f t="shared" si="26"/>
        <v>2.171996544723406E-3</v>
      </c>
      <c r="J68" s="466">
        <v>0.01</v>
      </c>
      <c r="K68" s="105"/>
      <c r="L68" s="105"/>
      <c r="M68" s="560">
        <f>+ASSUM!$E$27*'F4'!M30</f>
        <v>0</v>
      </c>
      <c r="N68" s="560">
        <f t="shared" si="27"/>
        <v>-0.01</v>
      </c>
      <c r="O68" s="560">
        <v>0.01</v>
      </c>
      <c r="P68" s="560">
        <f>+ASSUM!$F$27*'F4'!P30</f>
        <v>0</v>
      </c>
      <c r="Q68" s="560">
        <v>0</v>
      </c>
      <c r="R68" s="560">
        <f>+ASSUM!$G$27*'F4'!R30</f>
        <v>0</v>
      </c>
      <c r="S68" s="331"/>
    </row>
    <row r="69" spans="2:19">
      <c r="B69" s="92">
        <f t="shared" si="28"/>
        <v>6</v>
      </c>
      <c r="C69" s="31" t="s">
        <v>226</v>
      </c>
      <c r="D69" s="466">
        <f>+'ARR-Summary'!E40</f>
        <v>0.08</v>
      </c>
      <c r="E69" s="466">
        <f>+'ARR-Summary'!F40</f>
        <v>8.1559907855027869E-2</v>
      </c>
      <c r="F69" s="466">
        <f t="shared" si="25"/>
        <v>1.5599078550278672E-3</v>
      </c>
      <c r="G69" s="466">
        <v>0.104</v>
      </c>
      <c r="H69" s="466">
        <f>+'ARR-Summary'!I40</f>
        <v>8.9335976329716307E-2</v>
      </c>
      <c r="I69" s="466">
        <f t="shared" si="26"/>
        <v>-1.4664023670283688E-2</v>
      </c>
      <c r="J69" s="466">
        <v>0.1</v>
      </c>
      <c r="K69" s="105"/>
      <c r="L69" s="105"/>
      <c r="M69" s="560">
        <f>+'ARR-Summary'!N40</f>
        <v>8.9795034485117303E-2</v>
      </c>
      <c r="N69" s="560">
        <f t="shared" si="27"/>
        <v>-1.0204965514882702E-2</v>
      </c>
      <c r="O69" s="560">
        <v>0.1</v>
      </c>
      <c r="P69" s="560">
        <f>+'ARR-Summary'!Q40</f>
        <v>8.9795034485117303E-2</v>
      </c>
      <c r="Q69" s="560">
        <v>0.1</v>
      </c>
      <c r="R69" s="560">
        <f>+'ARR-Summary'!S40</f>
        <v>8.9795034485117303E-2</v>
      </c>
      <c r="S69" s="331"/>
    </row>
    <row r="70" spans="2:19">
      <c r="B70" s="92">
        <f t="shared" si="28"/>
        <v>7</v>
      </c>
      <c r="C70" s="49" t="s">
        <v>218</v>
      </c>
      <c r="D70" s="1170">
        <f>D66-D67+D68-D69</f>
        <v>1.2039999999999997</v>
      </c>
      <c r="E70" s="1170">
        <f>E66-E67+E68-E69</f>
        <v>1.0866413917551374</v>
      </c>
      <c r="F70" s="560">
        <f t="shared" si="25"/>
        <v>-0.11735860824486233</v>
      </c>
      <c r="G70" s="1170">
        <f>G66-G67+G68-G69-0.01</f>
        <v>1.0999999999999996</v>
      </c>
      <c r="H70" s="1170">
        <f>H66-H67+H68-H69</f>
        <v>1.0094774119701444</v>
      </c>
      <c r="I70" s="560">
        <f t="shared" si="26"/>
        <v>-9.0522588029855244E-2</v>
      </c>
      <c r="J70" s="718">
        <f>J66-J67+J68-J69</f>
        <v>1.0199999999999998</v>
      </c>
      <c r="K70" s="105"/>
      <c r="L70" s="105"/>
      <c r="M70" s="1170">
        <f>M66-M67+M68-M69</f>
        <v>0.91968237748502712</v>
      </c>
      <c r="N70" s="560">
        <f t="shared" si="27"/>
        <v>-0.10031762251497267</v>
      </c>
      <c r="O70" s="1170">
        <f>O66-O67+O68-O69</f>
        <v>0.92999999999999983</v>
      </c>
      <c r="P70" s="1170">
        <f>P66-P67+P68-P69</f>
        <v>0.82988734299990974</v>
      </c>
      <c r="Q70" s="1170">
        <f>Q66-Q67+Q68-Q69</f>
        <v>0.82999999999999985</v>
      </c>
      <c r="R70" s="1170">
        <f>R66-R67+R68-R69</f>
        <v>0.74009230851479246</v>
      </c>
      <c r="S70" s="331"/>
    </row>
    <row r="71" spans="2:19">
      <c r="B71" s="92">
        <f t="shared" si="28"/>
        <v>8</v>
      </c>
      <c r="C71" s="49" t="s">
        <v>219</v>
      </c>
      <c r="D71" s="1171">
        <f>D64+D68</f>
        <v>1.2839999999999998</v>
      </c>
      <c r="E71" s="1171">
        <f>E64+E68</f>
        <v>1.1682012996101652</v>
      </c>
      <c r="F71" s="560">
        <f t="shared" si="25"/>
        <v>-0.11579870038983464</v>
      </c>
      <c r="G71" s="1171">
        <f>G64+G68</f>
        <v>1.2939999999999998</v>
      </c>
      <c r="H71" s="1171">
        <f>H64+H68</f>
        <v>1.1803732961548885</v>
      </c>
      <c r="I71" s="560">
        <f t="shared" si="26"/>
        <v>-0.11362670384511131</v>
      </c>
      <c r="J71" s="732">
        <f>J64+J68</f>
        <v>1.3039999999999998</v>
      </c>
      <c r="K71" s="105"/>
      <c r="L71" s="105"/>
      <c r="M71" s="1171">
        <f>M64+M68</f>
        <v>1.1803732961548885</v>
      </c>
      <c r="N71" s="560">
        <f t="shared" si="27"/>
        <v>-0.12362670384511132</v>
      </c>
      <c r="O71" s="1171">
        <f>O64+O68</f>
        <v>1.3139999999999998</v>
      </c>
      <c r="P71" s="1170">
        <f>P64+P68</f>
        <v>1.1803732961548885</v>
      </c>
      <c r="Q71" s="1170">
        <f>Q64+Q68</f>
        <v>1.3139999999999998</v>
      </c>
      <c r="R71" s="1170">
        <f>R64+R68</f>
        <v>1.1803732961548885</v>
      </c>
      <c r="S71" s="331"/>
    </row>
    <row r="72" spans="2:19">
      <c r="B72" s="92">
        <v>9</v>
      </c>
      <c r="C72" s="49" t="s">
        <v>454</v>
      </c>
      <c r="D72" s="1171">
        <f>AVERAGE(D66,D70)</f>
        <v>1.0989999999999998</v>
      </c>
      <c r="E72" s="1171">
        <f>AVERAGE(E66,E70)</f>
        <v>1.0403206958775686</v>
      </c>
      <c r="F72" s="560">
        <f t="shared" si="25"/>
        <v>-5.8679304122431164E-2</v>
      </c>
      <c r="G72" s="1171">
        <f>AVERAGE(G66,G70)</f>
        <v>1.1519999999999997</v>
      </c>
      <c r="H72" s="1171">
        <f>AVERAGE(H66,H70)</f>
        <v>1.0480594018626408</v>
      </c>
      <c r="I72" s="560">
        <f t="shared" si="26"/>
        <v>-0.1039405981373589</v>
      </c>
      <c r="J72" s="732">
        <f>AVERAGE(J66,J70)</f>
        <v>1.0649999999999999</v>
      </c>
      <c r="K72" s="105"/>
      <c r="L72" s="105"/>
      <c r="M72" s="1171">
        <f>AVERAGE(M66,M70)</f>
        <v>0.96457989472758576</v>
      </c>
      <c r="N72" s="560">
        <f t="shared" si="27"/>
        <v>-0.10042010527241418</v>
      </c>
      <c r="O72" s="1171">
        <f>AVERAGE(O66,O70)</f>
        <v>0.97499999999999987</v>
      </c>
      <c r="P72" s="1170">
        <f>AVERAGE(P66,P70)</f>
        <v>0.87478486024246838</v>
      </c>
      <c r="Q72" s="1170">
        <f>AVERAGE(Q66,Q70)</f>
        <v>0.87999999999999989</v>
      </c>
      <c r="R72" s="1170">
        <f>AVERAGE(R66,R70)</f>
        <v>0.7849898257573511</v>
      </c>
      <c r="S72" s="331"/>
    </row>
    <row r="73" spans="2:19">
      <c r="B73" s="92">
        <v>10</v>
      </c>
      <c r="C73" s="1172" t="s">
        <v>455</v>
      </c>
      <c r="D73" s="1154">
        <f>ASSUM!C42</f>
        <v>0.1115</v>
      </c>
      <c r="E73" s="1154">
        <f>+E22</f>
        <v>0.1115</v>
      </c>
      <c r="F73" s="560">
        <f t="shared" si="25"/>
        <v>0</v>
      </c>
      <c r="G73" s="1154">
        <v>0.109</v>
      </c>
      <c r="H73" s="1154">
        <f>+H22</f>
        <v>0.10572054794520548</v>
      </c>
      <c r="I73" s="560">
        <f t="shared" si="26"/>
        <v>-3.2794520547945183E-3</v>
      </c>
      <c r="J73" s="848">
        <v>0.109</v>
      </c>
      <c r="K73" s="105"/>
      <c r="L73" s="105"/>
      <c r="M73" s="1154">
        <f>+M22</f>
        <v>0.1045</v>
      </c>
      <c r="N73" s="560">
        <f t="shared" si="27"/>
        <v>-4.500000000000004E-3</v>
      </c>
      <c r="O73" s="1154">
        <v>0.109</v>
      </c>
      <c r="P73" s="1154">
        <f>+P22</f>
        <v>9.2499999999999999E-2</v>
      </c>
      <c r="Q73" s="1154">
        <v>0.109</v>
      </c>
      <c r="R73" s="1154">
        <f>+R22</f>
        <v>9.2499999999999999E-2</v>
      </c>
      <c r="S73" s="331"/>
    </row>
    <row r="74" spans="2:19">
      <c r="B74" s="92">
        <v>11</v>
      </c>
      <c r="C74" s="1172" t="s">
        <v>47</v>
      </c>
      <c r="D74" s="1173">
        <f>D72*D73*358/366</f>
        <v>0.11986006284153004</v>
      </c>
      <c r="E74" s="1173">
        <f>E72*E73*358/366</f>
        <v>0.11346033119493144</v>
      </c>
      <c r="F74" s="560">
        <f t="shared" si="25"/>
        <v>-6.3997316465985998E-3</v>
      </c>
      <c r="G74" s="1173">
        <f>G72*G73</f>
        <v>0.12556799999999996</v>
      </c>
      <c r="H74" s="1173">
        <f>H72*H73</f>
        <v>0.11080141424404269</v>
      </c>
      <c r="I74" s="560">
        <f t="shared" si="26"/>
        <v>-1.4766585755957268E-2</v>
      </c>
      <c r="J74" s="849">
        <f>J72*J73</f>
        <v>0.11608499999999999</v>
      </c>
      <c r="K74" s="105"/>
      <c r="L74" s="105"/>
      <c r="M74" s="1173">
        <f>M72*M73</f>
        <v>0.10079859899903271</v>
      </c>
      <c r="N74" s="560">
        <f t="shared" si="27"/>
        <v>-1.5286401000967287E-2</v>
      </c>
      <c r="O74" s="746">
        <f>O72*O73</f>
        <v>0.10627499999999998</v>
      </c>
      <c r="P74" s="746">
        <f>P72*P73</f>
        <v>8.091759957242832E-2</v>
      </c>
      <c r="Q74" s="746">
        <f>Q72*Q73</f>
        <v>9.5919999999999991E-2</v>
      </c>
      <c r="R74" s="746">
        <f>R72*R73</f>
        <v>7.261155888255498E-2</v>
      </c>
      <c r="S74" s="331"/>
    </row>
    <row r="75" spans="2:19">
      <c r="B75" s="92">
        <v>12</v>
      </c>
      <c r="C75" s="49" t="s">
        <v>221</v>
      </c>
      <c r="D75" s="1170">
        <v>0</v>
      </c>
      <c r="E75" s="1170">
        <v>0</v>
      </c>
      <c r="F75" s="560">
        <f t="shared" si="25"/>
        <v>0</v>
      </c>
      <c r="G75" s="1170">
        <v>0</v>
      </c>
      <c r="H75" s="105">
        <v>0</v>
      </c>
      <c r="I75" s="560">
        <f t="shared" si="26"/>
        <v>0</v>
      </c>
      <c r="J75" s="29">
        <v>0</v>
      </c>
      <c r="K75" s="105"/>
      <c r="L75" s="105"/>
      <c r="M75" s="560">
        <v>0</v>
      </c>
      <c r="N75" s="560">
        <f t="shared" si="27"/>
        <v>0</v>
      </c>
      <c r="O75" s="560">
        <v>0</v>
      </c>
      <c r="P75" s="560">
        <v>0</v>
      </c>
      <c r="Q75" s="560">
        <v>0</v>
      </c>
      <c r="R75" s="560">
        <v>0</v>
      </c>
      <c r="S75" s="331"/>
    </row>
    <row r="76" spans="2:19">
      <c r="B76" s="93">
        <v>13</v>
      </c>
      <c r="C76" s="30" t="s">
        <v>456</v>
      </c>
      <c r="D76" s="719">
        <f>D74+D75</f>
        <v>0.11986006284153004</v>
      </c>
      <c r="E76" s="719">
        <f>E74+E75</f>
        <v>0.11346033119493144</v>
      </c>
      <c r="F76" s="466">
        <f t="shared" si="25"/>
        <v>-6.3997316465985998E-3</v>
      </c>
      <c r="G76" s="719">
        <f>G74+G75</f>
        <v>0.12556799999999996</v>
      </c>
      <c r="H76" s="719">
        <f>H74+H75</f>
        <v>0.11080141424404269</v>
      </c>
      <c r="I76" s="466">
        <f t="shared" si="26"/>
        <v>-1.4766585755957268E-2</v>
      </c>
      <c r="J76" s="719">
        <f>J74+J75</f>
        <v>0.11608499999999999</v>
      </c>
      <c r="K76" s="32"/>
      <c r="L76" s="32"/>
      <c r="M76" s="719">
        <f>M74+M75</f>
        <v>0.10079859899903271</v>
      </c>
      <c r="N76" s="466">
        <f t="shared" si="27"/>
        <v>-1.5286401000967287E-2</v>
      </c>
      <c r="O76" s="719">
        <f>O74+O75</f>
        <v>0.10627499999999998</v>
      </c>
      <c r="P76" s="719">
        <f>P74+P75</f>
        <v>8.091759957242832E-2</v>
      </c>
      <c r="Q76" s="719">
        <f>Q74+Q75</f>
        <v>9.5919999999999991E-2</v>
      </c>
      <c r="R76" s="719">
        <f>R74+R75</f>
        <v>7.261155888255498E-2</v>
      </c>
    </row>
    <row r="77" spans="2:19" s="155" customFormat="1">
      <c r="B77" s="45"/>
      <c r="C77" s="154"/>
      <c r="D77" s="154"/>
      <c r="E77" s="22"/>
      <c r="F77" s="22"/>
      <c r="G77" s="22"/>
      <c r="H77" s="25"/>
      <c r="I77" s="25"/>
      <c r="J77" s="24"/>
      <c r="K77" s="22"/>
      <c r="L77" s="22"/>
      <c r="M77" s="22"/>
      <c r="N77" s="22"/>
      <c r="O77" s="22"/>
      <c r="P77" s="22"/>
    </row>
    <row r="78" spans="2:19" s="155" customFormat="1">
      <c r="B78" s="62" t="s">
        <v>513</v>
      </c>
      <c r="C78" s="406" t="s">
        <v>742</v>
      </c>
      <c r="D78" s="154"/>
      <c r="E78" s="22"/>
      <c r="F78" s="22"/>
      <c r="G78" s="22"/>
      <c r="H78" s="25"/>
      <c r="I78" s="25"/>
      <c r="J78" s="24"/>
      <c r="K78" s="22"/>
      <c r="L78" s="22"/>
      <c r="M78" s="22"/>
      <c r="N78" s="22"/>
      <c r="O78" s="22"/>
      <c r="P78" s="22"/>
    </row>
    <row r="79" spans="2:19" s="155" customFormat="1">
      <c r="B79" s="62"/>
      <c r="C79" s="406"/>
      <c r="D79" s="154"/>
      <c r="E79" s="22"/>
      <c r="F79" s="22"/>
      <c r="G79" s="22"/>
      <c r="H79" s="25"/>
      <c r="I79" s="25"/>
      <c r="J79" s="24"/>
      <c r="K79" s="22"/>
      <c r="L79" s="22"/>
      <c r="M79" s="22"/>
      <c r="N79" s="22"/>
      <c r="O79" s="22"/>
      <c r="P79" s="22"/>
    </row>
    <row r="80" spans="2:19">
      <c r="C80" s="243" t="s">
        <v>457</v>
      </c>
      <c r="D80" s="243"/>
    </row>
    <row r="81" spans="2:17">
      <c r="J81" s="26" t="s">
        <v>16</v>
      </c>
      <c r="P81" s="26"/>
    </row>
    <row r="82" spans="2:17" s="389" customFormat="1" ht="25.9" customHeight="1">
      <c r="B82" s="1363" t="s">
        <v>160</v>
      </c>
      <c r="C82" s="1363" t="s">
        <v>41</v>
      </c>
      <c r="D82" s="808" t="s">
        <v>38</v>
      </c>
      <c r="E82" s="808" t="s">
        <v>146</v>
      </c>
      <c r="F82" s="1363" t="s">
        <v>147</v>
      </c>
      <c r="G82" s="1363"/>
      <c r="H82" s="1363"/>
      <c r="I82" s="808" t="s">
        <v>148</v>
      </c>
      <c r="J82" s="808" t="s">
        <v>149</v>
      </c>
      <c r="K82" s="18"/>
      <c r="L82" s="18"/>
      <c r="M82" s="18"/>
      <c r="N82" s="18"/>
      <c r="O82" s="18"/>
      <c r="P82" s="18"/>
      <c r="Q82" s="18"/>
    </row>
    <row r="83" spans="2:17" s="389" customFormat="1" ht="31.5" customHeight="1">
      <c r="B83" s="1363"/>
      <c r="C83" s="1363"/>
      <c r="D83" s="808" t="s">
        <v>414</v>
      </c>
      <c r="E83" s="808" t="s">
        <v>414</v>
      </c>
      <c r="F83" s="808" t="s">
        <v>673</v>
      </c>
      <c r="G83" s="808" t="s">
        <v>717</v>
      </c>
      <c r="H83" s="808" t="s">
        <v>718</v>
      </c>
      <c r="I83" s="808" t="s">
        <v>671</v>
      </c>
      <c r="J83" s="808" t="s">
        <v>671</v>
      </c>
      <c r="K83" s="18"/>
      <c r="L83" s="18"/>
      <c r="M83" s="18"/>
      <c r="N83" s="18"/>
      <c r="O83" s="18"/>
      <c r="P83" s="18"/>
      <c r="Q83" s="18"/>
    </row>
    <row r="84" spans="2:17" s="389" customFormat="1">
      <c r="B84" s="871"/>
      <c r="C84" s="872" t="s">
        <v>1059</v>
      </c>
      <c r="D84" s="871"/>
      <c r="E84" s="871"/>
      <c r="F84" s="871"/>
      <c r="G84" s="871"/>
      <c r="H84" s="871"/>
      <c r="I84" s="871"/>
      <c r="J84" s="871"/>
      <c r="K84" s="18"/>
      <c r="L84" s="18"/>
      <c r="M84" s="18"/>
      <c r="N84" s="18"/>
      <c r="O84" s="18"/>
      <c r="P84" s="18"/>
      <c r="Q84" s="18"/>
    </row>
    <row r="85" spans="2:17">
      <c r="B85" s="92">
        <v>1.1000000000000001</v>
      </c>
      <c r="C85" s="31" t="s">
        <v>43</v>
      </c>
      <c r="D85" s="718">
        <f>+'Actual Loan'!M31</f>
        <v>1.9718693730000041</v>
      </c>
      <c r="E85" s="466">
        <f>D89</f>
        <v>1.9283896533253542</v>
      </c>
      <c r="F85" s="466">
        <f t="shared" ref="F85:J85" si="29">E89</f>
        <v>1.8352188254511039</v>
      </c>
      <c r="G85" s="466">
        <f t="shared" si="29"/>
        <v>1.756738424405704</v>
      </c>
      <c r="H85" s="466">
        <f>+F85</f>
        <v>1.8352188254511039</v>
      </c>
      <c r="I85" s="466">
        <f>H89</f>
        <v>1.6840750380106539</v>
      </c>
      <c r="J85" s="466">
        <f t="shared" si="29"/>
        <v>1.5006911863216537</v>
      </c>
    </row>
    <row r="86" spans="2:17">
      <c r="B86" s="92">
        <f t="shared" ref="B86:B89" si="30">B85+0.1</f>
        <v>1.2000000000000002</v>
      </c>
      <c r="C86" s="31" t="s">
        <v>217</v>
      </c>
      <c r="D86" s="718">
        <v>0</v>
      </c>
      <c r="E86" s="718">
        <v>0</v>
      </c>
      <c r="F86" s="718">
        <v>0</v>
      </c>
      <c r="G86" s="718">
        <v>0</v>
      </c>
      <c r="H86" s="718">
        <v>0</v>
      </c>
      <c r="I86" s="718">
        <v>0</v>
      </c>
      <c r="J86" s="718">
        <v>0</v>
      </c>
    </row>
    <row r="87" spans="2:17">
      <c r="B87" s="92">
        <f t="shared" si="30"/>
        <v>1.3000000000000003</v>
      </c>
      <c r="C87" s="31" t="s">
        <v>159</v>
      </c>
      <c r="D87" s="718">
        <v>0</v>
      </c>
      <c r="E87" s="718">
        <v>0</v>
      </c>
      <c r="F87" s="718">
        <v>0</v>
      </c>
      <c r="G87" s="718">
        <v>0</v>
      </c>
      <c r="H87" s="718">
        <v>0</v>
      </c>
      <c r="I87" s="718">
        <v>0</v>
      </c>
      <c r="J87" s="718">
        <v>0</v>
      </c>
    </row>
    <row r="88" spans="2:17">
      <c r="B88" s="92">
        <f t="shared" si="30"/>
        <v>1.4000000000000004</v>
      </c>
      <c r="C88" s="31" t="s">
        <v>44</v>
      </c>
      <c r="D88" s="718">
        <f>+'Actual Loan'!M32</f>
        <v>4.3479719674649919E-2</v>
      </c>
      <c r="E88" s="718">
        <f>+'Actual Loan'!N32</f>
        <v>9.3170827874250239E-2</v>
      </c>
      <c r="F88" s="718">
        <f>+'Actual Loan'!O32</f>
        <v>7.8480401045399883E-2</v>
      </c>
      <c r="G88" s="718">
        <f>+'Actual Loan'!P32</f>
        <v>7.26633863950501E-2</v>
      </c>
      <c r="H88" s="718">
        <f>+'Actual Loan'!Q32</f>
        <v>0.15114378744044998</v>
      </c>
      <c r="I88" s="718">
        <f>+'Actual Loan'!R32</f>
        <v>0.18338385168900029</v>
      </c>
      <c r="J88" s="718">
        <f>+'Actual Loan'!S32</f>
        <v>0.20556738213524994</v>
      </c>
    </row>
    <row r="89" spans="2:17">
      <c r="B89" s="92">
        <f t="shared" si="30"/>
        <v>1.5000000000000004</v>
      </c>
      <c r="C89" s="31" t="s">
        <v>45</v>
      </c>
      <c r="D89" s="730">
        <f>D85-D88</f>
        <v>1.9283896533253542</v>
      </c>
      <c r="E89" s="730">
        <f>E85-E88</f>
        <v>1.8352188254511039</v>
      </c>
      <c r="F89" s="730">
        <f>F85-F88</f>
        <v>1.756738424405704</v>
      </c>
      <c r="G89" s="730">
        <f>G85-G88</f>
        <v>1.6840750380106539</v>
      </c>
      <c r="H89" s="730">
        <f>H85-H88</f>
        <v>1.6840750380106539</v>
      </c>
      <c r="I89" s="730">
        <f t="shared" ref="I89" si="31">I85-I88</f>
        <v>1.5006911863216537</v>
      </c>
      <c r="J89" s="730">
        <f t="shared" ref="J89" si="32">J85-J88</f>
        <v>1.2951238041864037</v>
      </c>
    </row>
    <row r="90" spans="2:17">
      <c r="B90" s="92">
        <f>B89+0.1</f>
        <v>1.6000000000000005</v>
      </c>
      <c r="C90" s="31" t="s">
        <v>458</v>
      </c>
      <c r="D90" s="730">
        <f t="shared" ref="D90:J90" si="33">+AVERAGE(D85,D89)</f>
        <v>1.950129513162679</v>
      </c>
      <c r="E90" s="730">
        <f t="shared" si="33"/>
        <v>1.881804239388229</v>
      </c>
      <c r="F90" s="730">
        <f t="shared" si="33"/>
        <v>1.795978624928404</v>
      </c>
      <c r="G90" s="730">
        <f t="shared" si="33"/>
        <v>1.720406731208179</v>
      </c>
      <c r="H90" s="730">
        <f t="shared" si="33"/>
        <v>1.7596469317308789</v>
      </c>
      <c r="I90" s="730">
        <f t="shared" si="33"/>
        <v>1.5923831121661538</v>
      </c>
      <c r="J90" s="730">
        <f t="shared" si="33"/>
        <v>1.3979074952540287</v>
      </c>
    </row>
    <row r="91" spans="2:17">
      <c r="B91" s="92">
        <f>B90+0.1</f>
        <v>1.7000000000000006</v>
      </c>
      <c r="C91" s="31" t="s">
        <v>46</v>
      </c>
      <c r="D91" s="848">
        <f>+D41</f>
        <v>0.11022206703910614</v>
      </c>
      <c r="E91" s="848">
        <f t="shared" ref="E91:J91" si="34">+E41</f>
        <v>0.10572054794520548</v>
      </c>
      <c r="F91" s="848">
        <f t="shared" si="34"/>
        <v>9.5241116751269034E-2</v>
      </c>
      <c r="G91" s="848">
        <f t="shared" si="34"/>
        <v>9.2499999999999999E-2</v>
      </c>
      <c r="H91" s="848">
        <f t="shared" si="34"/>
        <v>9.3979452054794521E-2</v>
      </c>
      <c r="I91" s="848">
        <f t="shared" si="34"/>
        <v>9.2500000000000013E-2</v>
      </c>
      <c r="J91" s="848">
        <f t="shared" si="34"/>
        <v>9.2499999999999985E-2</v>
      </c>
    </row>
    <row r="92" spans="2:17">
      <c r="B92" s="92">
        <f>B91+0.1</f>
        <v>1.8000000000000007</v>
      </c>
      <c r="C92" s="31" t="s">
        <v>47</v>
      </c>
      <c r="D92" s="718">
        <f>+'Actual Loan'!M34</f>
        <v>0.18717417548623239</v>
      </c>
      <c r="E92" s="718">
        <f>+'Actual Loan'!N34</f>
        <v>0.19966233405204026</v>
      </c>
      <c r="F92" s="718">
        <f>+'Actual Loan'!O34</f>
        <v>9.2815553468125866E-2</v>
      </c>
      <c r="G92" s="718">
        <f>+'Actual Loan'!P34</f>
        <v>7.3514755853393066E-2</v>
      </c>
      <c r="H92" s="718">
        <f>+'Actual Loan'!Q34</f>
        <v>0.16633030932151893</v>
      </c>
      <c r="I92" s="718">
        <f>+'Actual Loan'!R34</f>
        <v>0.14810975712372887</v>
      </c>
      <c r="J92" s="718">
        <f>+'Actual Loan'!S34</f>
        <v>0.13050126210443569</v>
      </c>
    </row>
    <row r="94" spans="2:17">
      <c r="C94" s="243" t="s">
        <v>459</v>
      </c>
      <c r="D94" s="243"/>
    </row>
    <row r="95" spans="2:17">
      <c r="J95" s="26" t="s">
        <v>16</v>
      </c>
    </row>
    <row r="96" spans="2:17" s="389" customFormat="1" ht="25.9" customHeight="1">
      <c r="B96" s="1363" t="s">
        <v>160</v>
      </c>
      <c r="C96" s="1363" t="s">
        <v>41</v>
      </c>
      <c r="D96" s="808" t="s">
        <v>670</v>
      </c>
      <c r="E96" s="808" t="s">
        <v>146</v>
      </c>
      <c r="F96" s="1363" t="s">
        <v>147</v>
      </c>
      <c r="G96" s="1363"/>
      <c r="H96" s="1363"/>
      <c r="I96" s="808" t="s">
        <v>148</v>
      </c>
      <c r="J96" s="808" t="s">
        <v>149</v>
      </c>
      <c r="K96" s="18"/>
      <c r="L96" s="18"/>
      <c r="M96" s="18"/>
      <c r="N96" s="18"/>
      <c r="O96" s="18"/>
      <c r="P96" s="18"/>
      <c r="Q96" s="18"/>
    </row>
    <row r="97" spans="2:17" s="389" customFormat="1" ht="31.5" customHeight="1">
      <c r="B97" s="1363"/>
      <c r="C97" s="1363"/>
      <c r="D97" s="808" t="s">
        <v>414</v>
      </c>
      <c r="E97" s="808" t="s">
        <v>414</v>
      </c>
      <c r="F97" s="808" t="s">
        <v>673</v>
      </c>
      <c r="G97" s="808" t="s">
        <v>717</v>
      </c>
      <c r="H97" s="808" t="s">
        <v>718</v>
      </c>
      <c r="I97" s="808" t="s">
        <v>671</v>
      </c>
      <c r="J97" s="808" t="s">
        <v>671</v>
      </c>
      <c r="K97" s="18"/>
      <c r="L97" s="18"/>
      <c r="M97" s="18"/>
      <c r="N97" s="18"/>
      <c r="O97" s="18"/>
      <c r="P97" s="18"/>
      <c r="Q97" s="18"/>
    </row>
    <row r="98" spans="2:17">
      <c r="B98" s="92">
        <v>1.1000000000000001</v>
      </c>
      <c r="C98" s="31" t="s">
        <v>43</v>
      </c>
      <c r="D98" s="1470" t="s">
        <v>967</v>
      </c>
      <c r="E98" s="466">
        <v>0</v>
      </c>
      <c r="F98" s="466">
        <f>+E102</f>
        <v>0</v>
      </c>
      <c r="G98" s="466">
        <f t="shared" ref="G98:J98" si="35">+F102</f>
        <v>0</v>
      </c>
      <c r="H98" s="466">
        <f t="shared" si="35"/>
        <v>0</v>
      </c>
      <c r="I98" s="466">
        <f t="shared" si="35"/>
        <v>0</v>
      </c>
      <c r="J98" s="466">
        <f t="shared" si="35"/>
        <v>0</v>
      </c>
    </row>
    <row r="99" spans="2:17">
      <c r="B99" s="92">
        <f t="shared" ref="B99:B102" si="36">B98+0.1</f>
        <v>1.2000000000000002</v>
      </c>
      <c r="C99" s="31" t="s">
        <v>217</v>
      </c>
      <c r="D99" s="1471"/>
      <c r="E99" s="466">
        <v>0</v>
      </c>
      <c r="F99" s="466">
        <v>0</v>
      </c>
      <c r="G99" s="466">
        <v>0</v>
      </c>
      <c r="H99" s="466">
        <v>0</v>
      </c>
      <c r="I99" s="466">
        <v>0</v>
      </c>
      <c r="J99" s="466">
        <v>0</v>
      </c>
    </row>
    <row r="100" spans="2:17">
      <c r="B100" s="92">
        <f t="shared" si="36"/>
        <v>1.3000000000000003</v>
      </c>
      <c r="C100" s="31" t="s">
        <v>159</v>
      </c>
      <c r="D100" s="1471"/>
      <c r="E100" s="466">
        <v>0</v>
      </c>
      <c r="F100" s="466">
        <v>0</v>
      </c>
      <c r="G100" s="466">
        <v>0</v>
      </c>
      <c r="H100" s="466">
        <v>0</v>
      </c>
      <c r="I100" s="466">
        <v>0</v>
      </c>
      <c r="J100" s="466">
        <v>0</v>
      </c>
    </row>
    <row r="101" spans="2:17">
      <c r="B101" s="92">
        <f t="shared" si="36"/>
        <v>1.4000000000000004</v>
      </c>
      <c r="C101" s="31" t="s">
        <v>44</v>
      </c>
      <c r="D101" s="1471"/>
      <c r="E101" s="466">
        <v>0</v>
      </c>
      <c r="F101" s="466">
        <v>0</v>
      </c>
      <c r="G101" s="466">
        <v>0</v>
      </c>
      <c r="H101" s="466">
        <v>0</v>
      </c>
      <c r="I101" s="466">
        <v>0</v>
      </c>
      <c r="J101" s="466">
        <v>0</v>
      </c>
    </row>
    <row r="102" spans="2:17">
      <c r="B102" s="92">
        <f t="shared" si="36"/>
        <v>1.5000000000000004</v>
      </c>
      <c r="C102" s="31" t="s">
        <v>45</v>
      </c>
      <c r="D102" s="1471"/>
      <c r="E102" s="466">
        <f>+E98-E99+E100-E101</f>
        <v>0</v>
      </c>
      <c r="F102" s="466">
        <f t="shared" ref="F102:J102" si="37">+F98-F99+F100-F101</f>
        <v>0</v>
      </c>
      <c r="G102" s="466">
        <f t="shared" si="37"/>
        <v>0</v>
      </c>
      <c r="H102" s="466">
        <f t="shared" si="37"/>
        <v>0</v>
      </c>
      <c r="I102" s="466">
        <f t="shared" si="37"/>
        <v>0</v>
      </c>
      <c r="J102" s="466">
        <f t="shared" si="37"/>
        <v>0</v>
      </c>
    </row>
    <row r="103" spans="2:17">
      <c r="B103" s="92">
        <f>B102+0.1</f>
        <v>1.6000000000000005</v>
      </c>
      <c r="C103" s="31" t="s">
        <v>458</v>
      </c>
      <c r="D103" s="1471"/>
      <c r="E103" s="466">
        <f>+AVERAGE(E98,E102)</f>
        <v>0</v>
      </c>
      <c r="F103" s="466">
        <f t="shared" ref="F103:J103" si="38">+AVERAGE(F98,F102)</f>
        <v>0</v>
      </c>
      <c r="G103" s="466">
        <f t="shared" si="38"/>
        <v>0</v>
      </c>
      <c r="H103" s="466">
        <f t="shared" si="38"/>
        <v>0</v>
      </c>
      <c r="I103" s="466">
        <f t="shared" si="38"/>
        <v>0</v>
      </c>
      <c r="J103" s="466">
        <f t="shared" si="38"/>
        <v>0</v>
      </c>
    </row>
    <row r="104" spans="2:17">
      <c r="B104" s="92">
        <f>B103+0.1</f>
        <v>1.7000000000000006</v>
      </c>
      <c r="C104" s="31" t="s">
        <v>46</v>
      </c>
      <c r="D104" s="1472"/>
      <c r="E104" s="466">
        <v>0</v>
      </c>
      <c r="F104" s="466">
        <v>0</v>
      </c>
      <c r="G104" s="466">
        <v>0</v>
      </c>
      <c r="H104" s="466">
        <v>0</v>
      </c>
      <c r="I104" s="466">
        <v>0</v>
      </c>
      <c r="J104" s="466">
        <v>0</v>
      </c>
    </row>
    <row r="105" spans="2:17">
      <c r="B105" s="92">
        <f>B104+0.1</f>
        <v>1.8000000000000007</v>
      </c>
      <c r="C105" s="31" t="s">
        <v>47</v>
      </c>
      <c r="D105" s="31"/>
      <c r="E105" s="466">
        <f>+E103*E104</f>
        <v>0</v>
      </c>
      <c r="F105" s="466">
        <f t="shared" ref="F105:J105" si="39">+F103*F104</f>
        <v>0</v>
      </c>
      <c r="G105" s="466">
        <f t="shared" si="39"/>
        <v>0</v>
      </c>
      <c r="H105" s="466">
        <f t="shared" si="39"/>
        <v>0</v>
      </c>
      <c r="I105" s="466">
        <f t="shared" si="39"/>
        <v>0</v>
      </c>
      <c r="J105" s="466">
        <f t="shared" si="39"/>
        <v>0</v>
      </c>
    </row>
  </sheetData>
  <mergeCells count="27">
    <mergeCell ref="J10:N10"/>
    <mergeCell ref="O10:P10"/>
    <mergeCell ref="Q10:R10"/>
    <mergeCell ref="J61:N61"/>
    <mergeCell ref="O61:P61"/>
    <mergeCell ref="Q61:R61"/>
    <mergeCell ref="B10:B12"/>
    <mergeCell ref="C10:C12"/>
    <mergeCell ref="D10:F10"/>
    <mergeCell ref="G10:I10"/>
    <mergeCell ref="B32:B33"/>
    <mergeCell ref="C32:C33"/>
    <mergeCell ref="F32:H32"/>
    <mergeCell ref="B46:B47"/>
    <mergeCell ref="C46:C47"/>
    <mergeCell ref="F46:H46"/>
    <mergeCell ref="B61:B63"/>
    <mergeCell ref="C61:C63"/>
    <mergeCell ref="D61:F61"/>
    <mergeCell ref="G61:I61"/>
    <mergeCell ref="D98:D104"/>
    <mergeCell ref="B82:B83"/>
    <mergeCell ref="C82:C83"/>
    <mergeCell ref="F82:H82"/>
    <mergeCell ref="B96:B97"/>
    <mergeCell ref="C96:C97"/>
    <mergeCell ref="F96:H96"/>
  </mergeCells>
  <pageMargins left="1.0236220472440944" right="0.23622047244094491" top="0.98425196850393704" bottom="0.98425196850393704" header="0.23622047244094491" footer="0.23622047244094491"/>
  <pageSetup paperSize="9" scale="36" fitToHeight="0" orientation="landscape" r:id="rId1"/>
  <headerFooter alignWithMargins="0">
    <oddHeader>&amp;F</oddHeader>
  </headerFooter>
  <rowBreaks count="1" manualBreakCount="1">
    <brk id="56" max="16383" man="1"/>
  </rowBreaks>
  <ignoredErrors>
    <ignoredError sqref="F15:F25 I16:L16 I13 K13:L13 I14 K14:L14 I24:R24 I20:I21 K20:L21 I22 K22:L22 I23 K23:L23 I19:L19 I17:L17 Q17 I18:L18 Q23 I15 R16 K15:L15 N13 N14 N15:O15 N16:P16 N17 N18 N20:N21 N22 N19 N23 I25:Q25" formula="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000"/>
    <pageSetUpPr fitToPage="1"/>
  </sheetPr>
  <dimension ref="B2:P97"/>
  <sheetViews>
    <sheetView showGridLines="0" view="pageBreakPreview" topLeftCell="A22" zoomScale="60" zoomScaleNormal="80" workbookViewId="0">
      <selection activeCell="C11" sqref="C11:C12"/>
    </sheetView>
  </sheetViews>
  <sheetFormatPr defaultColWidth="9.140625" defaultRowHeight="15"/>
  <cols>
    <col min="1" max="1" width="3.140625" style="155" customWidth="1"/>
    <col min="2" max="2" width="8.42578125" style="74" customWidth="1"/>
    <col min="3" max="3" width="78.7109375" style="155" customWidth="1"/>
    <col min="4" max="4" width="13.5703125" style="155" customWidth="1"/>
    <col min="5" max="5" width="15.85546875" style="155" customWidth="1"/>
    <col min="6" max="6" width="16" style="155" customWidth="1"/>
    <col min="7" max="7" width="16.5703125" style="155" customWidth="1"/>
    <col min="8" max="8" width="16.42578125" style="155" customWidth="1"/>
    <col min="9" max="10" width="18.7109375" style="155" hidden="1" customWidth="1"/>
    <col min="11" max="11" width="16.5703125" style="155" customWidth="1"/>
    <col min="12" max="12" width="16" style="155" customWidth="1"/>
    <col min="13" max="14" width="14.85546875" style="155" customWidth="1"/>
    <col min="15" max="15" width="13.85546875" style="155" customWidth="1"/>
    <col min="16" max="16" width="14.85546875" style="155" customWidth="1"/>
    <col min="17" max="17" width="15.5703125" style="155" customWidth="1"/>
    <col min="18" max="18" width="15.28515625" style="155" customWidth="1"/>
    <col min="19" max="16384" width="9.140625" style="155"/>
  </cols>
  <sheetData>
    <row r="2" spans="2:16">
      <c r="C2" s="222"/>
      <c r="D2" s="222"/>
      <c r="E2" s="375" t="s">
        <v>906</v>
      </c>
      <c r="F2" s="183"/>
      <c r="G2" s="183"/>
      <c r="H2" s="222"/>
      <c r="I2" s="222"/>
      <c r="J2" s="222"/>
      <c r="K2" s="222"/>
      <c r="L2" s="222"/>
      <c r="M2" s="222"/>
      <c r="N2" s="222"/>
    </row>
    <row r="3" spans="2:16">
      <c r="C3" s="222"/>
      <c r="D3" s="222"/>
      <c r="E3" s="373" t="s">
        <v>724</v>
      </c>
      <c r="F3" s="185"/>
      <c r="G3" s="185"/>
      <c r="H3" s="222"/>
      <c r="I3" s="222"/>
      <c r="J3" s="222"/>
      <c r="K3" s="222"/>
      <c r="L3" s="222"/>
      <c r="M3" s="222"/>
      <c r="N3" s="222"/>
    </row>
    <row r="4" spans="2:16">
      <c r="C4" s="222"/>
      <c r="D4" s="222"/>
      <c r="E4" s="185" t="s">
        <v>322</v>
      </c>
      <c r="F4" s="185"/>
      <c r="G4" s="185"/>
      <c r="H4" s="222"/>
      <c r="I4" s="222"/>
      <c r="J4" s="222"/>
      <c r="K4" s="222"/>
      <c r="L4" s="222"/>
      <c r="M4" s="222"/>
      <c r="N4" s="222"/>
    </row>
    <row r="5" spans="2:16">
      <c r="B5" s="138"/>
      <c r="C5" s="11"/>
      <c r="D5" s="22"/>
      <c r="E5" s="22"/>
      <c r="F5" s="22"/>
      <c r="G5" s="22"/>
      <c r="H5" s="22"/>
      <c r="I5" s="22"/>
    </row>
    <row r="6" spans="2:16">
      <c r="B6" s="137" t="s">
        <v>698</v>
      </c>
      <c r="C6" s="11"/>
      <c r="D6" s="22"/>
      <c r="E6" s="22"/>
      <c r="F6" s="22"/>
      <c r="G6" s="22"/>
      <c r="H6" s="22"/>
      <c r="I6" s="22"/>
      <c r="J6" s="137"/>
      <c r="K6" s="11"/>
      <c r="L6" s="22"/>
      <c r="M6" s="22"/>
      <c r="N6" s="22"/>
    </row>
    <row r="7" spans="2:16">
      <c r="B7" s="138"/>
      <c r="C7" s="156"/>
      <c r="D7" s="22"/>
      <c r="E7" s="22"/>
      <c r="F7" s="22"/>
      <c r="G7" s="22"/>
      <c r="H7" s="22"/>
      <c r="I7" s="22"/>
      <c r="J7" s="138"/>
      <c r="K7" s="156"/>
      <c r="L7" s="22"/>
      <c r="M7" s="22"/>
      <c r="N7" s="22"/>
    </row>
    <row r="8" spans="2:16">
      <c r="B8" s="138"/>
      <c r="C8" s="156" t="s">
        <v>999</v>
      </c>
      <c r="D8" s="22"/>
      <c r="E8" s="22"/>
      <c r="F8" s="22"/>
      <c r="G8" s="22"/>
      <c r="H8" s="22"/>
      <c r="I8" s="22"/>
      <c r="J8" s="138"/>
      <c r="K8" s="156"/>
      <c r="L8" s="22"/>
      <c r="M8" s="22"/>
      <c r="N8" s="22"/>
    </row>
    <row r="9" spans="2:16">
      <c r="B9" s="137"/>
      <c r="C9" s="58"/>
      <c r="D9" s="22"/>
      <c r="E9" s="22"/>
      <c r="G9" s="26" t="s">
        <v>16</v>
      </c>
      <c r="I9" s="22"/>
    </row>
    <row r="10" spans="2:16" s="38" customFormat="1">
      <c r="B10" s="1383" t="s">
        <v>157</v>
      </c>
      <c r="C10" s="1495" t="s">
        <v>49</v>
      </c>
      <c r="D10" s="1495" t="s">
        <v>81</v>
      </c>
      <c r="E10" s="1365" t="s">
        <v>38</v>
      </c>
      <c r="F10" s="1365"/>
      <c r="G10" s="1365"/>
      <c r="H10" s="48"/>
      <c r="I10" s="48"/>
      <c r="O10" s="48"/>
      <c r="P10" s="48"/>
    </row>
    <row r="11" spans="2:16" s="38" customFormat="1" ht="33" customHeight="1">
      <c r="B11" s="1385"/>
      <c r="C11" s="1496"/>
      <c r="D11" s="1496"/>
      <c r="E11" s="409" t="s">
        <v>413</v>
      </c>
      <c r="F11" s="364" t="s">
        <v>12</v>
      </c>
      <c r="G11" s="369" t="s">
        <v>731</v>
      </c>
      <c r="H11" s="384"/>
      <c r="I11" s="48"/>
      <c r="O11" s="48"/>
      <c r="P11" s="48"/>
    </row>
    <row r="12" spans="2:16" s="54" customFormat="1">
      <c r="B12" s="139">
        <v>1</v>
      </c>
      <c r="C12" s="218" t="s">
        <v>588</v>
      </c>
      <c r="D12" s="139"/>
      <c r="E12" s="564">
        <f>('F3'!E16+'F3'!E29)/12</f>
        <v>0.25619151145111824</v>
      </c>
      <c r="F12" s="733">
        <f>('F3'!F16+'F3'!F29)/12</f>
        <v>0.4111510083333334</v>
      </c>
      <c r="G12" s="739">
        <f>F12-E12</f>
        <v>0.15495949688221516</v>
      </c>
      <c r="H12" s="385"/>
      <c r="I12" s="48"/>
      <c r="O12" s="48"/>
    </row>
    <row r="13" spans="2:16" s="54" customFormat="1" ht="30">
      <c r="B13" s="139">
        <f>B12+1</f>
        <v>2</v>
      </c>
      <c r="C13" s="218" t="s">
        <v>324</v>
      </c>
      <c r="D13" s="139"/>
      <c r="E13" s="219">
        <v>0</v>
      </c>
      <c r="F13" s="733">
        <v>0</v>
      </c>
      <c r="G13" s="739">
        <f t="shared" ref="G13:G27" si="0">F13-E13</f>
        <v>0</v>
      </c>
      <c r="H13" s="385"/>
      <c r="I13" s="48"/>
      <c r="O13" s="48"/>
    </row>
    <row r="14" spans="2:16" s="54" customFormat="1">
      <c r="B14" s="139">
        <f t="shared" ref="B14:B21" si="1">B13+1</f>
        <v>3</v>
      </c>
      <c r="C14" s="220" t="s">
        <v>248</v>
      </c>
      <c r="D14" s="139"/>
      <c r="E14" s="738">
        <f>58.8*2/12</f>
        <v>9.7999999999999989</v>
      </c>
      <c r="F14" s="733">
        <f>'F13'!M22*2/12</f>
        <v>9.6951828058333316</v>
      </c>
      <c r="G14" s="739">
        <f t="shared" si="0"/>
        <v>-0.10481719416666735</v>
      </c>
      <c r="H14" s="385"/>
      <c r="I14" s="48"/>
      <c r="O14" s="48"/>
    </row>
    <row r="15" spans="2:16" s="54" customFormat="1">
      <c r="B15" s="139">
        <f>B14+1</f>
        <v>4</v>
      </c>
      <c r="C15" s="49" t="s">
        <v>998</v>
      </c>
      <c r="D15" s="139"/>
      <c r="E15" s="564">
        <f>37875820/10^7</f>
        <v>3.787582</v>
      </c>
      <c r="F15" s="733">
        <f>35722760/10^7</f>
        <v>3.572276</v>
      </c>
      <c r="G15" s="739">
        <f t="shared" si="0"/>
        <v>-0.215306</v>
      </c>
      <c r="H15" s="385"/>
      <c r="I15" s="48"/>
      <c r="O15" s="48"/>
    </row>
    <row r="16" spans="2:16" s="54" customFormat="1">
      <c r="B16" s="231">
        <v>5</v>
      </c>
      <c r="C16" s="74" t="s">
        <v>250</v>
      </c>
      <c r="D16" s="221"/>
      <c r="E16" s="564">
        <f>34.49/12</f>
        <v>2.874166666666667</v>
      </c>
      <c r="F16" s="1176">
        <f>'F2'!Q36/12</f>
        <v>2.9520920749999999</v>
      </c>
      <c r="G16" s="739">
        <f t="shared" si="0"/>
        <v>7.7925408333332946E-2</v>
      </c>
      <c r="H16" s="385"/>
      <c r="I16" s="48"/>
      <c r="J16" s="48"/>
      <c r="K16" s="48"/>
      <c r="L16" s="48"/>
      <c r="O16" s="48"/>
    </row>
    <row r="17" spans="2:16" s="54" customFormat="1">
      <c r="B17" s="139">
        <v>6</v>
      </c>
      <c r="C17" s="147" t="s">
        <v>212</v>
      </c>
      <c r="D17" s="221"/>
      <c r="E17" s="736">
        <f>E12+E13+E14-E15-E16</f>
        <v>3.3944428447844506</v>
      </c>
      <c r="F17" s="736">
        <f>F12+F13+F14-F15-F16</f>
        <v>3.5819657391666637</v>
      </c>
      <c r="G17" s="739">
        <f t="shared" si="0"/>
        <v>0.18752289438221315</v>
      </c>
      <c r="H17" s="385"/>
      <c r="I17" s="48"/>
      <c r="J17" s="48"/>
      <c r="K17" s="48"/>
      <c r="L17" s="48"/>
      <c r="O17" s="48"/>
    </row>
    <row r="18" spans="2:16" s="54" customFormat="1">
      <c r="B18" s="139"/>
      <c r="C18" s="147"/>
      <c r="D18" s="221"/>
      <c r="E18" s="219"/>
      <c r="F18" s="733"/>
      <c r="G18" s="739"/>
      <c r="H18" s="385"/>
      <c r="I18" s="48"/>
      <c r="J18" s="48"/>
      <c r="K18" s="48"/>
      <c r="L18" s="48"/>
      <c r="O18" s="48"/>
    </row>
    <row r="19" spans="2:16" s="54" customFormat="1">
      <c r="B19" s="139"/>
      <c r="C19" s="147" t="s">
        <v>1000</v>
      </c>
      <c r="D19" s="221"/>
      <c r="E19" s="219"/>
      <c r="F19" s="733"/>
      <c r="G19" s="739"/>
      <c r="H19" s="385"/>
      <c r="I19" s="48"/>
      <c r="J19" s="48"/>
      <c r="K19" s="48"/>
      <c r="L19" s="48"/>
      <c r="O19" s="48"/>
    </row>
    <row r="20" spans="2:16" s="18" customFormat="1">
      <c r="B20" s="139">
        <f>B17+1</f>
        <v>7</v>
      </c>
      <c r="C20" s="74" t="s">
        <v>327</v>
      </c>
      <c r="D20" s="31"/>
      <c r="E20" s="734">
        <f>ASSUM!C43</f>
        <v>0.14050000000000001</v>
      </c>
      <c r="F20" s="734">
        <f>ASSUM!C43</f>
        <v>0.14050000000000001</v>
      </c>
      <c r="G20" s="739"/>
      <c r="H20" s="53"/>
      <c r="I20" s="48"/>
      <c r="J20" s="48"/>
      <c r="K20" s="48"/>
      <c r="L20" s="48"/>
    </row>
    <row r="21" spans="2:16" s="18" customFormat="1" ht="15.75">
      <c r="B21" s="139">
        <f t="shared" si="1"/>
        <v>8</v>
      </c>
      <c r="C21" s="223" t="s">
        <v>253</v>
      </c>
      <c r="D21" s="29"/>
      <c r="E21" s="32">
        <v>0.43</v>
      </c>
      <c r="F21" s="737">
        <f>F17*F20*358/365</f>
        <v>0.49361450606669599</v>
      </c>
      <c r="G21" s="740">
        <f t="shared" si="0"/>
        <v>6.3614506066695997E-2</v>
      </c>
      <c r="H21" s="53"/>
      <c r="I21" s="48"/>
      <c r="J21" s="48"/>
      <c r="K21" s="48"/>
      <c r="L21" s="48"/>
    </row>
    <row r="22" spans="2:16" s="18" customFormat="1" ht="15.75">
      <c r="B22" s="225"/>
      <c r="C22" s="223"/>
      <c r="D22" s="29"/>
      <c r="E22" s="29"/>
      <c r="F22" s="382"/>
      <c r="G22" s="739"/>
      <c r="H22" s="53"/>
      <c r="I22" s="48"/>
      <c r="J22" s="48"/>
      <c r="K22" s="48"/>
      <c r="L22" s="48"/>
    </row>
    <row r="23" spans="2:16" s="18" customFormat="1" ht="15.75">
      <c r="B23" s="225">
        <v>9</v>
      </c>
      <c r="C23" s="51" t="s">
        <v>460</v>
      </c>
      <c r="D23" s="294"/>
      <c r="E23" s="295"/>
      <c r="F23" s="383">
        <v>0</v>
      </c>
      <c r="G23" s="739">
        <f t="shared" si="0"/>
        <v>0</v>
      </c>
      <c r="H23" s="53"/>
      <c r="I23" s="48"/>
      <c r="J23" s="48"/>
      <c r="K23" s="48"/>
      <c r="L23" s="48"/>
    </row>
    <row r="24" spans="2:16" s="18" customFormat="1" ht="15.75">
      <c r="B24" s="225"/>
      <c r="C24" s="223"/>
      <c r="D24" s="29"/>
      <c r="E24" s="29"/>
      <c r="F24" s="382"/>
      <c r="G24" s="739"/>
      <c r="H24" s="53"/>
      <c r="I24" s="48"/>
      <c r="J24" s="48"/>
      <c r="K24" s="48"/>
      <c r="L24" s="48"/>
    </row>
    <row r="25" spans="2:16" s="18" customFormat="1" ht="15.75">
      <c r="B25" s="225">
        <v>10</v>
      </c>
      <c r="C25" s="226" t="s">
        <v>328</v>
      </c>
      <c r="D25" s="29"/>
      <c r="E25" s="29"/>
      <c r="F25" s="382"/>
      <c r="G25" s="739"/>
      <c r="H25" s="53"/>
      <c r="I25" s="48"/>
      <c r="J25" s="48"/>
      <c r="K25" s="48"/>
      <c r="L25" s="48"/>
    </row>
    <row r="26" spans="2:16" s="18" customFormat="1" ht="15.75">
      <c r="B26" s="139">
        <f t="shared" ref="B26:B27" si="2">B25+1</f>
        <v>11</v>
      </c>
      <c r="C26" s="224" t="s">
        <v>327</v>
      </c>
      <c r="D26" s="29"/>
      <c r="E26" s="734">
        <v>7.7499999999999999E-2</v>
      </c>
      <c r="F26" s="1175">
        <f>ASSUM!C45</f>
        <v>0.08</v>
      </c>
      <c r="G26" s="739"/>
      <c r="H26" s="53"/>
      <c r="I26" s="48"/>
      <c r="J26" s="48"/>
      <c r="K26" s="48"/>
      <c r="L26" s="48"/>
    </row>
    <row r="27" spans="2:16" s="18" customFormat="1" ht="15.75">
      <c r="B27" s="139">
        <f t="shared" si="2"/>
        <v>12</v>
      </c>
      <c r="C27" s="223" t="s">
        <v>328</v>
      </c>
      <c r="D27" s="29"/>
      <c r="E27" s="690">
        <f>E26*E15</f>
        <v>0.29353760499999998</v>
      </c>
      <c r="F27" s="735">
        <f>F15*F26*0+0.3178899</f>
        <v>0.3178899</v>
      </c>
      <c r="G27" s="739">
        <f t="shared" si="0"/>
        <v>2.4352295000000024E-2</v>
      </c>
      <c r="H27" s="53"/>
      <c r="I27" s="48"/>
      <c r="J27" s="48"/>
      <c r="K27" s="1146"/>
      <c r="L27" s="48"/>
    </row>
    <row r="28" spans="2:16" s="1" customFormat="1">
      <c r="B28" s="142" t="s">
        <v>749</v>
      </c>
      <c r="C28" s="18" t="s">
        <v>747</v>
      </c>
      <c r="D28" s="11"/>
      <c r="E28" s="11"/>
      <c r="F28" s="11"/>
      <c r="G28" s="11"/>
      <c r="H28" s="11"/>
    </row>
    <row r="29" spans="2:16" s="1" customFormat="1">
      <c r="B29" s="142"/>
      <c r="C29" s="18"/>
      <c r="D29" s="11"/>
      <c r="E29" s="11"/>
      <c r="F29" s="11"/>
      <c r="G29" s="11"/>
      <c r="H29" s="11"/>
    </row>
    <row r="30" spans="2:16" s="10" customFormat="1" hidden="1">
      <c r="B30" s="159"/>
      <c r="C30" s="156" t="s">
        <v>258</v>
      </c>
      <c r="D30" s="47"/>
      <c r="E30" s="160"/>
      <c r="F30" s="160"/>
      <c r="G30" s="160"/>
      <c r="H30" s="28"/>
      <c r="I30" s="48"/>
      <c r="J30" s="48"/>
      <c r="K30" s="48"/>
      <c r="L30" s="48"/>
      <c r="M30" s="48"/>
      <c r="N30" s="48"/>
      <c r="O30" s="48"/>
    </row>
    <row r="31" spans="2:16" s="10" customFormat="1" hidden="1">
      <c r="B31" s="137"/>
      <c r="C31" s="58"/>
      <c r="D31" s="22"/>
      <c r="E31" s="22"/>
      <c r="G31" s="26" t="s">
        <v>16</v>
      </c>
      <c r="I31" s="48"/>
      <c r="J31" s="48"/>
      <c r="K31" s="48"/>
      <c r="L31" s="48"/>
      <c r="M31" s="48"/>
      <c r="N31" s="48"/>
      <c r="O31" s="48"/>
    </row>
    <row r="32" spans="2:16" s="38" customFormat="1" hidden="1">
      <c r="B32" s="1383" t="s">
        <v>157</v>
      </c>
      <c r="C32" s="1495" t="s">
        <v>49</v>
      </c>
      <c r="D32" s="1495" t="s">
        <v>81</v>
      </c>
      <c r="E32" s="1365" t="s">
        <v>38</v>
      </c>
      <c r="F32" s="1365"/>
      <c r="G32" s="1365"/>
      <c r="H32" s="48"/>
      <c r="I32" s="48"/>
      <c r="O32" s="48"/>
      <c r="P32" s="48"/>
    </row>
    <row r="33" spans="2:16" s="38" customFormat="1" ht="28.9" hidden="1" customHeight="1">
      <c r="B33" s="1385"/>
      <c r="C33" s="1496"/>
      <c r="D33" s="1496"/>
      <c r="E33" s="409" t="s">
        <v>413</v>
      </c>
      <c r="F33" s="364" t="s">
        <v>12</v>
      </c>
      <c r="G33" s="363" t="s">
        <v>461</v>
      </c>
      <c r="H33" s="384"/>
      <c r="I33" s="48"/>
      <c r="O33" s="48"/>
      <c r="P33" s="48"/>
    </row>
    <row r="34" spans="2:16" s="10" customFormat="1" hidden="1">
      <c r="B34" s="139">
        <v>1</v>
      </c>
      <c r="C34" s="218" t="s">
        <v>323</v>
      </c>
      <c r="D34" s="1475" t="s">
        <v>967</v>
      </c>
      <c r="E34" s="1476"/>
      <c r="F34" s="1476"/>
      <c r="G34" s="1477"/>
      <c r="H34" s="385"/>
      <c r="I34" s="48"/>
      <c r="J34" s="48"/>
      <c r="K34" s="48"/>
      <c r="L34" s="48"/>
      <c r="M34" s="48"/>
      <c r="N34" s="48"/>
      <c r="O34" s="48"/>
    </row>
    <row r="35" spans="2:16" s="10" customFormat="1" ht="30" hidden="1">
      <c r="B35" s="139">
        <f>B34+1</f>
        <v>2</v>
      </c>
      <c r="C35" s="218" t="s">
        <v>324</v>
      </c>
      <c r="D35" s="1478"/>
      <c r="E35" s="1479"/>
      <c r="F35" s="1479"/>
      <c r="G35" s="1480"/>
      <c r="H35" s="53"/>
      <c r="I35" s="48"/>
      <c r="J35" s="48"/>
      <c r="K35" s="48"/>
      <c r="L35" s="48"/>
      <c r="M35" s="48"/>
      <c r="N35" s="48"/>
      <c r="O35" s="48"/>
    </row>
    <row r="36" spans="2:16" s="10" customFormat="1" hidden="1">
      <c r="B36" s="139">
        <f t="shared" ref="B36:B39" si="3">B35+1</f>
        <v>3</v>
      </c>
      <c r="C36" s="79" t="s">
        <v>249</v>
      </c>
      <c r="D36" s="1478"/>
      <c r="E36" s="1479"/>
      <c r="F36" s="1479"/>
      <c r="G36" s="1480"/>
      <c r="H36" s="53"/>
      <c r="I36" s="48"/>
      <c r="J36" s="48"/>
      <c r="K36" s="48"/>
      <c r="L36" s="48"/>
      <c r="M36" s="48"/>
      <c r="N36" s="48"/>
      <c r="O36" s="48"/>
    </row>
    <row r="37" spans="2:16" s="10" customFormat="1" hidden="1">
      <c r="B37" s="139">
        <f t="shared" si="3"/>
        <v>4</v>
      </c>
      <c r="C37" s="49" t="s">
        <v>247</v>
      </c>
      <c r="D37" s="1478"/>
      <c r="E37" s="1479"/>
      <c r="F37" s="1479"/>
      <c r="G37" s="1480"/>
      <c r="H37" s="53"/>
      <c r="I37" s="48"/>
      <c r="J37" s="48"/>
      <c r="K37" s="48"/>
      <c r="L37" s="48"/>
      <c r="M37" s="48"/>
      <c r="N37" s="48"/>
      <c r="O37" s="48"/>
    </row>
    <row r="38" spans="2:16" s="10" customFormat="1" hidden="1">
      <c r="B38" s="139">
        <f t="shared" si="3"/>
        <v>5</v>
      </c>
      <c r="C38" s="79" t="s">
        <v>250</v>
      </c>
      <c r="D38" s="1478"/>
      <c r="E38" s="1479"/>
      <c r="F38" s="1479"/>
      <c r="G38" s="1480"/>
      <c r="H38" s="53"/>
      <c r="I38" s="48"/>
      <c r="J38" s="48"/>
      <c r="K38" s="48"/>
      <c r="L38" s="48"/>
      <c r="M38" s="48"/>
      <c r="N38" s="48"/>
      <c r="O38" s="48"/>
    </row>
    <row r="39" spans="2:16" s="10" customFormat="1" hidden="1">
      <c r="B39" s="139">
        <f t="shared" si="3"/>
        <v>6</v>
      </c>
      <c r="C39" s="163" t="s">
        <v>212</v>
      </c>
      <c r="D39" s="1478"/>
      <c r="E39" s="1479"/>
      <c r="F39" s="1479"/>
      <c r="G39" s="1480"/>
      <c r="H39" s="48"/>
      <c r="I39" s="48"/>
      <c r="J39" s="48"/>
      <c r="K39" s="48"/>
      <c r="L39" s="48"/>
      <c r="M39" s="48"/>
      <c r="N39" s="48"/>
      <c r="O39" s="48"/>
    </row>
    <row r="40" spans="2:16" s="10" customFormat="1" hidden="1">
      <c r="B40" s="139"/>
      <c r="C40" s="163"/>
      <c r="D40" s="1478"/>
      <c r="E40" s="1479"/>
      <c r="F40" s="1479"/>
      <c r="G40" s="1480"/>
      <c r="H40" s="48"/>
      <c r="I40" s="48"/>
      <c r="J40" s="48"/>
      <c r="K40" s="48"/>
      <c r="L40" s="48"/>
      <c r="M40" s="48"/>
      <c r="N40" s="48"/>
      <c r="O40" s="48"/>
    </row>
    <row r="41" spans="2:16" s="18" customFormat="1" ht="15.75" hidden="1">
      <c r="B41" s="139">
        <v>7</v>
      </c>
      <c r="C41" s="223" t="s">
        <v>326</v>
      </c>
      <c r="D41" s="1478"/>
      <c r="E41" s="1479"/>
      <c r="F41" s="1479"/>
      <c r="G41" s="1480"/>
      <c r="H41" s="53"/>
      <c r="I41" s="48"/>
      <c r="J41" s="48"/>
      <c r="K41" s="48"/>
      <c r="L41" s="48"/>
    </row>
    <row r="42" spans="2:16" s="18" customFormat="1" ht="15.75" hidden="1">
      <c r="B42" s="139">
        <f t="shared" ref="B42:B43" si="4">B41+1</f>
        <v>8</v>
      </c>
      <c r="C42" s="224" t="s">
        <v>327</v>
      </c>
      <c r="D42" s="1478"/>
      <c r="E42" s="1479"/>
      <c r="F42" s="1479"/>
      <c r="G42" s="1480"/>
      <c r="H42" s="53"/>
      <c r="I42" s="48"/>
      <c r="J42" s="48"/>
      <c r="K42" s="48"/>
      <c r="L42" s="48"/>
    </row>
    <row r="43" spans="2:16" s="18" customFormat="1" ht="15.75" hidden="1">
      <c r="B43" s="139">
        <f t="shared" si="4"/>
        <v>9</v>
      </c>
      <c r="C43" s="223" t="s">
        <v>253</v>
      </c>
      <c r="D43" s="1478"/>
      <c r="E43" s="1479"/>
      <c r="F43" s="1479"/>
      <c r="G43" s="1480"/>
      <c r="H43" s="53"/>
      <c r="I43" s="48"/>
      <c r="J43" s="48"/>
      <c r="K43" s="48"/>
      <c r="L43" s="48"/>
    </row>
    <row r="44" spans="2:16" s="18" customFormat="1" ht="15.75" hidden="1">
      <c r="B44" s="139"/>
      <c r="C44" s="223"/>
      <c r="D44" s="1478"/>
      <c r="E44" s="1479"/>
      <c r="F44" s="1479"/>
      <c r="G44" s="1480"/>
      <c r="H44" s="53"/>
      <c r="I44" s="48"/>
      <c r="J44" s="48"/>
      <c r="K44" s="48"/>
      <c r="L44" s="48"/>
    </row>
    <row r="45" spans="2:16" s="18" customFormat="1" ht="15.75" hidden="1">
      <c r="B45" s="225">
        <v>10</v>
      </c>
      <c r="C45" s="51" t="s">
        <v>460</v>
      </c>
      <c r="D45" s="1478"/>
      <c r="E45" s="1479"/>
      <c r="F45" s="1479"/>
      <c r="G45" s="1480"/>
      <c r="H45" s="53"/>
      <c r="I45" s="48"/>
      <c r="J45" s="48"/>
      <c r="K45" s="48"/>
      <c r="L45" s="48"/>
    </row>
    <row r="46" spans="2:16" s="18" customFormat="1" ht="15.75" hidden="1">
      <c r="B46" s="225"/>
      <c r="C46" s="223"/>
      <c r="D46" s="1478"/>
      <c r="E46" s="1479"/>
      <c r="F46" s="1479"/>
      <c r="G46" s="1480"/>
      <c r="H46" s="53"/>
      <c r="I46" s="48"/>
      <c r="J46" s="48"/>
      <c r="K46" s="48"/>
      <c r="L46" s="48"/>
    </row>
    <row r="47" spans="2:16" s="18" customFormat="1" ht="15.75" hidden="1">
      <c r="B47" s="225">
        <v>11</v>
      </c>
      <c r="C47" s="226" t="s">
        <v>328</v>
      </c>
      <c r="D47" s="1478"/>
      <c r="E47" s="1479"/>
      <c r="F47" s="1479"/>
      <c r="G47" s="1480"/>
      <c r="H47" s="53"/>
      <c r="I47" s="48"/>
      <c r="J47" s="48"/>
      <c r="K47" s="48"/>
      <c r="L47" s="48"/>
    </row>
    <row r="48" spans="2:16" s="18" customFormat="1" ht="15.75" hidden="1">
      <c r="B48" s="139">
        <f t="shared" ref="B48:B49" si="5">B47+1</f>
        <v>12</v>
      </c>
      <c r="C48" s="224" t="s">
        <v>327</v>
      </c>
      <c r="D48" s="1478"/>
      <c r="E48" s="1479"/>
      <c r="F48" s="1479"/>
      <c r="G48" s="1480"/>
      <c r="H48" s="53"/>
      <c r="I48" s="48"/>
      <c r="J48" s="48"/>
      <c r="K48" s="48"/>
      <c r="L48" s="48"/>
    </row>
    <row r="49" spans="2:16" s="18" customFormat="1" ht="15.75" hidden="1">
      <c r="B49" s="139">
        <f t="shared" si="5"/>
        <v>13</v>
      </c>
      <c r="C49" s="223" t="s">
        <v>328</v>
      </c>
      <c r="D49" s="1481"/>
      <c r="E49" s="1482"/>
      <c r="F49" s="1482"/>
      <c r="G49" s="1483"/>
      <c r="H49" s="53"/>
      <c r="I49" s="48"/>
      <c r="J49" s="48"/>
      <c r="K49" s="48"/>
      <c r="L49" s="48"/>
    </row>
    <row r="50" spans="2:16" s="1" customFormat="1" hidden="1">
      <c r="B50" s="404" t="s">
        <v>737</v>
      </c>
      <c r="C50" s="11"/>
      <c r="D50" s="11"/>
      <c r="E50" s="11"/>
      <c r="F50" s="11"/>
      <c r="G50" s="11"/>
      <c r="H50" s="11"/>
    </row>
    <row r="51" spans="2:16" s="1" customFormat="1" hidden="1">
      <c r="B51" s="142" t="s">
        <v>749</v>
      </c>
      <c r="C51" s="18" t="s">
        <v>747</v>
      </c>
      <c r="D51" s="44"/>
      <c r="E51" s="44"/>
      <c r="F51" s="16"/>
      <c r="G51" s="16"/>
      <c r="H51" s="11"/>
    </row>
    <row r="52" spans="2:16" s="10" customFormat="1">
      <c r="B52" s="137" t="s">
        <v>210</v>
      </c>
      <c r="C52" s="161"/>
      <c r="D52" s="47"/>
      <c r="E52" s="160"/>
      <c r="F52" s="160"/>
      <c r="G52" s="160"/>
      <c r="H52" s="28"/>
      <c r="I52" s="48"/>
      <c r="J52" s="48"/>
      <c r="K52" s="48"/>
      <c r="L52" s="48"/>
      <c r="M52" s="48"/>
      <c r="N52" s="48"/>
      <c r="O52" s="48"/>
    </row>
    <row r="53" spans="2:16" s="10" customFormat="1">
      <c r="B53" s="159"/>
      <c r="C53" s="161"/>
      <c r="D53" s="47"/>
      <c r="E53" s="160"/>
      <c r="F53" s="160"/>
      <c r="G53" s="160"/>
      <c r="H53" s="28"/>
      <c r="I53" s="48"/>
      <c r="J53" s="48"/>
      <c r="K53" s="48"/>
      <c r="L53" s="48"/>
      <c r="M53" s="48"/>
      <c r="N53" s="48"/>
      <c r="O53" s="48"/>
    </row>
    <row r="54" spans="2:16">
      <c r="B54" s="142"/>
      <c r="C54" s="156" t="s">
        <v>999</v>
      </c>
      <c r="D54" s="11"/>
      <c r="E54" s="11"/>
      <c r="F54" s="11"/>
      <c r="G54" s="11"/>
      <c r="H54" s="11"/>
      <c r="I54" s="11"/>
      <c r="J54" s="11"/>
    </row>
    <row r="55" spans="2:16">
      <c r="P55" s="52" t="s">
        <v>16</v>
      </c>
    </row>
    <row r="56" spans="2:16" s="396" customFormat="1">
      <c r="B56" s="1493" t="s">
        <v>157</v>
      </c>
      <c r="C56" s="1494" t="s">
        <v>49</v>
      </c>
      <c r="D56" s="1494" t="s">
        <v>81</v>
      </c>
      <c r="E56" s="1360" t="s">
        <v>146</v>
      </c>
      <c r="F56" s="1361"/>
      <c r="G56" s="1362"/>
      <c r="H56" s="1363" t="s">
        <v>147</v>
      </c>
      <c r="I56" s="1363"/>
      <c r="J56" s="1363"/>
      <c r="K56" s="1363"/>
      <c r="L56" s="1363"/>
      <c r="M56" s="1363" t="s">
        <v>148</v>
      </c>
      <c r="N56" s="1363"/>
      <c r="O56" s="1363" t="s">
        <v>149</v>
      </c>
      <c r="P56" s="1363"/>
    </row>
    <row r="57" spans="2:16" s="397" customFormat="1" ht="42.75">
      <c r="B57" s="1493"/>
      <c r="C57" s="1494"/>
      <c r="D57" s="1494"/>
      <c r="E57" s="391" t="s">
        <v>413</v>
      </c>
      <c r="F57" s="390" t="s">
        <v>12</v>
      </c>
      <c r="G57" s="391" t="s">
        <v>415</v>
      </c>
      <c r="H57" s="391" t="s">
        <v>413</v>
      </c>
      <c r="I57" s="391" t="s">
        <v>673</v>
      </c>
      <c r="J57" s="391" t="s">
        <v>717</v>
      </c>
      <c r="K57" s="391" t="s">
        <v>718</v>
      </c>
      <c r="L57" s="391" t="s">
        <v>732</v>
      </c>
      <c r="M57" s="391" t="s">
        <v>413</v>
      </c>
      <c r="N57" s="391" t="s">
        <v>671</v>
      </c>
      <c r="O57" s="391" t="s">
        <v>413</v>
      </c>
      <c r="P57" s="391" t="s">
        <v>671</v>
      </c>
    </row>
    <row r="58" spans="2:16" s="10" customFormat="1">
      <c r="B58" s="139">
        <v>1</v>
      </c>
      <c r="C58" s="136" t="s">
        <v>245</v>
      </c>
      <c r="D58" s="131"/>
      <c r="E58" s="4">
        <v>0.27</v>
      </c>
      <c r="F58" s="698">
        <f>('F3'!I16+'F3'!I29)/12</f>
        <v>0.43227909166666673</v>
      </c>
      <c r="G58" s="831">
        <f>F58-E58</f>
        <v>0.16227909166666671</v>
      </c>
      <c r="H58" s="4">
        <v>0.28000000000000003</v>
      </c>
      <c r="I58" s="531"/>
      <c r="J58" s="4"/>
      <c r="K58" s="698">
        <f>('F3'!N16+'F3'!N29)/12</f>
        <v>0.45479674259114672</v>
      </c>
      <c r="L58" s="698">
        <f>K58-H58</f>
        <v>0.17479674259114669</v>
      </c>
      <c r="M58" s="4">
        <v>0.28999999999999998</v>
      </c>
      <c r="N58" s="698">
        <f>('F3'!Q16+'F3'!Q29)/12</f>
        <v>0.5117192776329792</v>
      </c>
      <c r="O58" s="531">
        <v>0.3</v>
      </c>
      <c r="P58" s="531">
        <f>('F3'!S16+'F3'!S29)/12</f>
        <v>0.56952528071107122</v>
      </c>
    </row>
    <row r="59" spans="2:16" s="10" customFormat="1">
      <c r="B59" s="139">
        <f>B58+1</f>
        <v>2</v>
      </c>
      <c r="C59" s="136" t="s">
        <v>329</v>
      </c>
      <c r="D59" s="131"/>
      <c r="E59" s="4">
        <v>0.48</v>
      </c>
      <c r="F59" s="698">
        <f>'F5'!H21*1%</f>
        <v>0.52557306100000001</v>
      </c>
      <c r="G59" s="831">
        <f t="shared" ref="G59:G76" si="6">F59-E59</f>
        <v>4.5573061000000026E-2</v>
      </c>
      <c r="H59" s="4">
        <v>0.49</v>
      </c>
      <c r="I59" s="531"/>
      <c r="J59" s="4"/>
      <c r="K59" s="698">
        <f>'F5'!L21*1%</f>
        <v>0.53104923500000001</v>
      </c>
      <c r="L59" s="698">
        <f t="shared" ref="L59:L76" si="7">K59-H59</f>
        <v>4.1049235000000017E-2</v>
      </c>
      <c r="M59" s="4">
        <v>0.53</v>
      </c>
      <c r="N59" s="698">
        <f>'F5'!D33*1%</f>
        <v>0.5352492350000001</v>
      </c>
      <c r="O59" s="531">
        <v>0.56000000000000005</v>
      </c>
      <c r="P59" s="700">
        <f>'F5'!H33*1%</f>
        <v>0.544249235</v>
      </c>
    </row>
    <row r="60" spans="2:16" s="10" customFormat="1" ht="30">
      <c r="B60" s="139">
        <f t="shared" ref="B60:B76" si="8">B59+1</f>
        <v>3</v>
      </c>
      <c r="C60" s="79" t="s">
        <v>246</v>
      </c>
      <c r="D60" s="131"/>
      <c r="E60" s="4">
        <v>9.16</v>
      </c>
      <c r="F60" s="698">
        <f>'F13'!M46*1.5/12</f>
        <v>6.620118376079998</v>
      </c>
      <c r="G60" s="831">
        <f t="shared" si="6"/>
        <v>-2.5398816239200022</v>
      </c>
      <c r="H60" s="4">
        <v>10.33</v>
      </c>
      <c r="I60" s="531"/>
      <c r="J60" s="4"/>
      <c r="K60" s="698">
        <f>'F13.1'!W22*1.5/12</f>
        <v>5.5927058136349999</v>
      </c>
      <c r="L60" s="698">
        <f t="shared" si="7"/>
        <v>-4.7372941863650002</v>
      </c>
      <c r="M60" s="4">
        <v>10.76</v>
      </c>
      <c r="N60" s="698">
        <f>+'F13.2'!W46*1.5/12</f>
        <v>6.5708937109892362</v>
      </c>
      <c r="O60" s="531">
        <v>11.07</v>
      </c>
      <c r="P60" s="531">
        <f>+'F13.3'!U46*1.5/12</f>
        <v>6.8025233866575689</v>
      </c>
    </row>
    <row r="61" spans="2:16" s="10" customFormat="1">
      <c r="B61" s="139">
        <f t="shared" si="8"/>
        <v>4</v>
      </c>
      <c r="C61" s="49" t="s">
        <v>462</v>
      </c>
      <c r="D61" s="133"/>
      <c r="E61" s="531">
        <v>5</v>
      </c>
      <c r="F61" s="700">
        <f>38442360/10^7</f>
        <v>3.844236</v>
      </c>
      <c r="G61" s="831">
        <f t="shared" si="6"/>
        <v>-1.155764</v>
      </c>
      <c r="H61" s="4">
        <v>5.77</v>
      </c>
      <c r="I61" s="4"/>
      <c r="J61" s="4"/>
      <c r="K61" s="698">
        <f>F61</f>
        <v>3.844236</v>
      </c>
      <c r="L61" s="698">
        <f t="shared" si="7"/>
        <v>-1.9257639999999996</v>
      </c>
      <c r="M61" s="4">
        <v>6.06</v>
      </c>
      <c r="N61" s="698">
        <f>K61</f>
        <v>3.844236</v>
      </c>
      <c r="O61" s="531">
        <v>6.27</v>
      </c>
      <c r="P61" s="698">
        <f>N61</f>
        <v>3.844236</v>
      </c>
    </row>
    <row r="62" spans="2:16" s="10" customFormat="1">
      <c r="B62" s="139"/>
      <c r="C62" s="49" t="s">
        <v>250</v>
      </c>
      <c r="D62" s="133"/>
      <c r="E62" s="4">
        <v>3.58</v>
      </c>
      <c r="F62" s="700">
        <f>'F2'!Q72/12</f>
        <v>2.866088129235834</v>
      </c>
      <c r="G62" s="831">
        <f t="shared" si="6"/>
        <v>-0.71391187076416607</v>
      </c>
      <c r="H62" s="4">
        <v>4.12</v>
      </c>
      <c r="I62" s="4"/>
      <c r="J62" s="4"/>
      <c r="K62" s="698">
        <f>'F2'!Q105/12</f>
        <v>2.7919429137568028</v>
      </c>
      <c r="L62" s="698">
        <f t="shared" si="7"/>
        <v>-1.3280570862431973</v>
      </c>
      <c r="M62" s="4">
        <v>4.3899999999999997</v>
      </c>
      <c r="N62" s="698">
        <f>'F2'!Q137/12</f>
        <v>3.4367472767086622</v>
      </c>
      <c r="O62" s="531">
        <v>4.5999999999999996</v>
      </c>
      <c r="P62" s="698">
        <f>'F2'!Q169/12</f>
        <v>3.5508187130989435</v>
      </c>
    </row>
    <row r="63" spans="2:16">
      <c r="B63" s="139">
        <f>B61+1</f>
        <v>5</v>
      </c>
      <c r="C63" s="130" t="s">
        <v>212</v>
      </c>
      <c r="D63" s="15"/>
      <c r="E63" s="1174">
        <f>E58+E59+E60-E61-E62+0.02</f>
        <v>1.35</v>
      </c>
      <c r="F63" s="1174">
        <f>F58+F59+F60-F61-F62</f>
        <v>0.86764639951083078</v>
      </c>
      <c r="G63" s="831">
        <f t="shared" si="6"/>
        <v>-0.48235360048916931</v>
      </c>
      <c r="H63" s="1174">
        <f>H58+H59+H60-H61-H62-0.01</f>
        <v>1.2</v>
      </c>
      <c r="I63" s="4"/>
      <c r="J63" s="4"/>
      <c r="K63" s="1174">
        <f>K58+K59+K60-K61-K62</f>
        <v>-5.7627122530655939E-2</v>
      </c>
      <c r="L63" s="831">
        <f t="shared" si="7"/>
        <v>-1.2576271225306559</v>
      </c>
      <c r="M63" s="1174">
        <f>M58+M59+M60-M61-M62-0.01</f>
        <v>1.1200000000000008</v>
      </c>
      <c r="N63" s="1174">
        <f>N58+N59+N60-N61-N62</f>
        <v>0.33687894691355336</v>
      </c>
      <c r="O63" s="1174">
        <f>O58+O59+O60-O61-O62</f>
        <v>1.0600000000000005</v>
      </c>
      <c r="P63" s="1174">
        <f>P58+P59+P60-P61-P62</f>
        <v>0.52124318926969648</v>
      </c>
    </row>
    <row r="64" spans="2:16">
      <c r="B64" s="139"/>
      <c r="C64" s="14"/>
      <c r="D64" s="15"/>
      <c r="E64" s="4"/>
      <c r="F64" s="4"/>
      <c r="G64" s="831"/>
      <c r="H64" s="4"/>
      <c r="I64" s="4"/>
      <c r="J64" s="4"/>
      <c r="K64" s="4"/>
      <c r="L64" s="831"/>
      <c r="M64" s="4"/>
      <c r="N64" s="4"/>
      <c r="O64" s="4"/>
      <c r="P64" s="4"/>
    </row>
    <row r="65" spans="2:16">
      <c r="B65" s="139">
        <v>6</v>
      </c>
      <c r="C65" s="141" t="s">
        <v>209</v>
      </c>
      <c r="D65" s="15"/>
      <c r="E65" s="4"/>
      <c r="F65" s="4"/>
      <c r="G65" s="831"/>
      <c r="H65" s="4"/>
      <c r="I65" s="4"/>
      <c r="J65" s="4"/>
      <c r="K65" s="4"/>
      <c r="L65" s="831"/>
      <c r="M65" s="4"/>
      <c r="N65" s="4"/>
      <c r="O65" s="4"/>
      <c r="P65" s="4"/>
    </row>
    <row r="66" spans="2:16" s="1" customFormat="1">
      <c r="B66" s="139">
        <f t="shared" si="8"/>
        <v>7</v>
      </c>
      <c r="C66" s="50" t="s">
        <v>211</v>
      </c>
      <c r="D66" s="15"/>
      <c r="E66" s="1097">
        <v>0.108</v>
      </c>
      <c r="F66" s="1097">
        <f>ASSUM!D43</f>
        <v>0.10787699999999999</v>
      </c>
      <c r="G66" s="831">
        <f t="shared" si="6"/>
        <v>-1.2300000000001199E-4</v>
      </c>
      <c r="H66" s="1097">
        <v>0.108</v>
      </c>
      <c r="I66" s="4"/>
      <c r="J66" s="4"/>
      <c r="K66" s="1097">
        <f>+ASSUM!E43</f>
        <v>0.101676</v>
      </c>
      <c r="L66" s="831">
        <f t="shared" si="7"/>
        <v>-6.3239999999999963E-3</v>
      </c>
      <c r="M66" s="1097">
        <v>0.108</v>
      </c>
      <c r="N66" s="1097">
        <f>ASSUM!F43</f>
        <v>9.4500000000000001E-2</v>
      </c>
      <c r="O66" s="1097">
        <v>0.108</v>
      </c>
      <c r="P66" s="1097">
        <f>ASSUM!G43</f>
        <v>9.4500000000000001E-2</v>
      </c>
    </row>
    <row r="67" spans="2:16" s="1" customFormat="1">
      <c r="B67" s="139">
        <f t="shared" si="8"/>
        <v>8</v>
      </c>
      <c r="C67" s="51" t="s">
        <v>75</v>
      </c>
      <c r="D67" s="15"/>
      <c r="E67" s="700">
        <f>E63*E66</f>
        <v>0.14580000000000001</v>
      </c>
      <c r="F67" s="700">
        <f>F63*F66</f>
        <v>9.3599090640029886E-2</v>
      </c>
      <c r="G67" s="831">
        <f t="shared" si="6"/>
        <v>-5.2200909359970127E-2</v>
      </c>
      <c r="H67" s="700">
        <f>H63*H66</f>
        <v>0.12959999999999999</v>
      </c>
      <c r="I67" s="4"/>
      <c r="J67" s="4"/>
      <c r="K67" s="700">
        <f>MAX(0,K63*K66)</f>
        <v>0</v>
      </c>
      <c r="L67" s="831">
        <f t="shared" si="7"/>
        <v>-0.12959999999999999</v>
      </c>
      <c r="M67" s="700">
        <f>M63*M66</f>
        <v>0.12096000000000008</v>
      </c>
      <c r="N67" s="700">
        <f>N63*N66</f>
        <v>3.183506048333079E-2</v>
      </c>
      <c r="O67" s="700">
        <f>O63*O66</f>
        <v>0.11448000000000005</v>
      </c>
      <c r="P67" s="700">
        <f>P63*P66</f>
        <v>4.9257481385986318E-2</v>
      </c>
    </row>
    <row r="68" spans="2:16" s="1" customFormat="1">
      <c r="B68" s="139"/>
      <c r="C68" s="50" t="s">
        <v>1084</v>
      </c>
      <c r="D68" s="15"/>
      <c r="E68" s="700">
        <f>+E67*ASSUM!$D$16</f>
        <v>1.4580000000000003E-2</v>
      </c>
      <c r="F68" s="700">
        <f>+F67*ASSUM!$D$16</f>
        <v>9.3599090640029883E-3</v>
      </c>
      <c r="G68" s="831">
        <f t="shared" si="6"/>
        <v>-5.2200909359970144E-3</v>
      </c>
      <c r="H68" s="700">
        <f>+H67*ASSUM!$E$16</f>
        <v>1.2959999999999999E-2</v>
      </c>
      <c r="I68" s="700">
        <f>+I67*ASSUM!$E$16</f>
        <v>0</v>
      </c>
      <c r="J68" s="700">
        <f>+J67*ASSUM!$E$16</f>
        <v>0</v>
      </c>
      <c r="K68" s="700">
        <f>+K67*ASSUM!$E$16</f>
        <v>0</v>
      </c>
      <c r="L68" s="831">
        <f t="shared" si="7"/>
        <v>-1.2959999999999999E-2</v>
      </c>
      <c r="M68" s="700">
        <f>+M67*ASSUM!$F$16</f>
        <v>1.209600000000001E-2</v>
      </c>
      <c r="N68" s="700">
        <f>+ROUNDUP(N67*ASSUM!$F$16,2)</f>
        <v>0.01</v>
      </c>
      <c r="O68" s="700">
        <f>+O67*ASSUM!$G$16</f>
        <v>1.1448000000000007E-2</v>
      </c>
      <c r="P68" s="700">
        <f>+ROUNDUP(P67*ASSUM!$G$16,2)</f>
        <v>0.01</v>
      </c>
    </row>
    <row r="69" spans="2:16" s="1" customFormat="1">
      <c r="B69" s="139"/>
      <c r="C69" s="50" t="s">
        <v>1085</v>
      </c>
      <c r="D69" s="15"/>
      <c r="E69" s="700">
        <f>+E67-E68</f>
        <v>0.13122</v>
      </c>
      <c r="F69" s="700">
        <f>+F67-F68</f>
        <v>8.4239181576026903E-2</v>
      </c>
      <c r="G69" s="831">
        <f t="shared" si="6"/>
        <v>-4.69808184239731E-2</v>
      </c>
      <c r="H69" s="700">
        <f>+H67-H68</f>
        <v>0.11663999999999999</v>
      </c>
      <c r="I69" s="700">
        <f t="shared" ref="I69:K69" si="9">+I67-I68</f>
        <v>0</v>
      </c>
      <c r="J69" s="700">
        <f t="shared" si="9"/>
        <v>0</v>
      </c>
      <c r="K69" s="700">
        <f t="shared" si="9"/>
        <v>0</v>
      </c>
      <c r="L69" s="831">
        <f t="shared" si="7"/>
        <v>-0.11663999999999999</v>
      </c>
      <c r="M69" s="700">
        <f>+M67-M68</f>
        <v>0.10886400000000007</v>
      </c>
      <c r="N69" s="700">
        <f>+N67-N68</f>
        <v>2.1835060483330788E-2</v>
      </c>
      <c r="O69" s="700">
        <f>+O67-O68</f>
        <v>0.10303200000000004</v>
      </c>
      <c r="P69" s="700">
        <f>+P67-P68</f>
        <v>3.9257481385986316E-2</v>
      </c>
    </row>
    <row r="70" spans="2:16" s="18" customFormat="1" ht="15.75">
      <c r="B70" s="225">
        <v>9</v>
      </c>
      <c r="C70" s="50" t="s">
        <v>460</v>
      </c>
      <c r="D70" s="294"/>
      <c r="E70" s="295">
        <v>0</v>
      </c>
      <c r="F70" s="383">
        <v>0</v>
      </c>
      <c r="G70" s="455">
        <f t="shared" si="6"/>
        <v>0</v>
      </c>
      <c r="H70" s="295">
        <v>0</v>
      </c>
      <c r="I70" s="295"/>
      <c r="J70" s="295"/>
      <c r="K70" s="383">
        <v>0</v>
      </c>
      <c r="L70" s="455">
        <f t="shared" si="7"/>
        <v>0</v>
      </c>
      <c r="M70" s="295">
        <v>0</v>
      </c>
      <c r="N70" s="295">
        <v>0</v>
      </c>
      <c r="O70" s="295">
        <v>0</v>
      </c>
      <c r="P70" s="295">
        <v>0</v>
      </c>
    </row>
    <row r="71" spans="2:16" s="1" customFormat="1">
      <c r="B71" s="139"/>
      <c r="C71" s="51"/>
      <c r="D71" s="15"/>
      <c r="E71" s="14"/>
      <c r="F71" s="14"/>
      <c r="G71" s="455"/>
      <c r="H71" s="14"/>
      <c r="I71" s="14"/>
      <c r="J71" s="14"/>
      <c r="K71" s="14"/>
      <c r="L71" s="455"/>
      <c r="M71" s="14"/>
      <c r="N71" s="14"/>
      <c r="O71" s="14"/>
      <c r="P71" s="14"/>
    </row>
    <row r="72" spans="2:16" s="18" customFormat="1" ht="15.75">
      <c r="B72" s="139">
        <v>10</v>
      </c>
      <c r="C72" s="226" t="s">
        <v>328</v>
      </c>
      <c r="D72" s="29"/>
      <c r="E72" s="29"/>
      <c r="F72" s="29"/>
      <c r="G72" s="455"/>
      <c r="H72" s="29"/>
      <c r="I72" s="29"/>
      <c r="J72" s="29"/>
      <c r="K72" s="29"/>
      <c r="L72" s="455"/>
      <c r="M72" s="29"/>
      <c r="N72" s="29"/>
      <c r="O72" s="29"/>
      <c r="P72" s="29"/>
    </row>
    <row r="73" spans="2:16" s="18" customFormat="1">
      <c r="B73" s="139">
        <f t="shared" si="8"/>
        <v>11</v>
      </c>
      <c r="C73" s="50" t="s">
        <v>211</v>
      </c>
      <c r="D73" s="29"/>
      <c r="E73" s="741">
        <v>0.108</v>
      </c>
      <c r="F73" s="741">
        <f>ASSUM!D45</f>
        <v>0.10787699999999999</v>
      </c>
      <c r="G73" s="455">
        <f t="shared" si="6"/>
        <v>-1.2300000000001199E-4</v>
      </c>
      <c r="H73" s="741">
        <v>0.108</v>
      </c>
      <c r="I73" s="29"/>
      <c r="J73" s="29"/>
      <c r="K73" s="741">
        <f>ASSUM!E45</f>
        <v>0.101676</v>
      </c>
      <c r="L73" s="741">
        <f>ASSUM!G45</f>
        <v>9.4500000000000001E-2</v>
      </c>
      <c r="M73" s="741">
        <v>0.108</v>
      </c>
      <c r="N73" s="741">
        <f>ASSUM!G45</f>
        <v>9.4500000000000001E-2</v>
      </c>
      <c r="O73" s="741">
        <v>0.108</v>
      </c>
      <c r="P73" s="741">
        <f>ASSUM!G45</f>
        <v>9.4500000000000001E-2</v>
      </c>
    </row>
    <row r="74" spans="2:16" s="18" customFormat="1" ht="15.75">
      <c r="B74" s="139">
        <f t="shared" si="8"/>
        <v>12</v>
      </c>
      <c r="C74" s="223" t="s">
        <v>328</v>
      </c>
      <c r="D74" s="29"/>
      <c r="E74" s="690">
        <f>E61*E73</f>
        <v>0.54</v>
      </c>
      <c r="F74" s="690">
        <f>F61*F73*0+0.3447952</f>
        <v>0.34479520000000002</v>
      </c>
      <c r="G74" s="455">
        <f t="shared" si="6"/>
        <v>-0.19520480000000001</v>
      </c>
      <c r="H74" s="690">
        <f>H61*H73</f>
        <v>0.62315999999999994</v>
      </c>
      <c r="I74" s="29"/>
      <c r="J74" s="29"/>
      <c r="K74" s="690">
        <f>K61*K73</f>
        <v>0.39086653953600003</v>
      </c>
      <c r="L74" s="455">
        <f t="shared" si="7"/>
        <v>-0.2322934604639999</v>
      </c>
      <c r="M74" s="690">
        <f>M61*M73</f>
        <v>0.65447999999999995</v>
      </c>
      <c r="N74" s="690">
        <f>N61*N73</f>
        <v>0.363280302</v>
      </c>
      <c r="O74" s="690">
        <f>O61*O73</f>
        <v>0.67715999999999998</v>
      </c>
      <c r="P74" s="690">
        <f>P61*P73</f>
        <v>0.363280302</v>
      </c>
    </row>
    <row r="75" spans="2:16" s="18" customFormat="1" ht="15.75">
      <c r="B75" s="139">
        <f t="shared" si="8"/>
        <v>13</v>
      </c>
      <c r="C75" s="224" t="s">
        <v>1082</v>
      </c>
      <c r="D75" s="29"/>
      <c r="E75" s="690">
        <f>+E74*ASSUM!$D$17</f>
        <v>5.4000000000000006E-2</v>
      </c>
      <c r="F75" s="690">
        <f>+F74*ASSUM!$D$17</f>
        <v>3.4479520000000007E-2</v>
      </c>
      <c r="G75" s="455">
        <f t="shared" si="6"/>
        <v>-1.952048E-2</v>
      </c>
      <c r="H75" s="690">
        <f>+H74*ASSUM!$E$17</f>
        <v>6.2315999999999996E-2</v>
      </c>
      <c r="I75" s="690">
        <f>+I74*ASSUM!$E$17</f>
        <v>0</v>
      </c>
      <c r="J75" s="690">
        <f>+J74*ASSUM!$E$17</f>
        <v>0</v>
      </c>
      <c r="K75" s="690">
        <f>+K74*ASSUM!$E$17</f>
        <v>3.9086653953600003E-2</v>
      </c>
      <c r="L75" s="455">
        <f t="shared" si="7"/>
        <v>-2.3229346046399993E-2</v>
      </c>
      <c r="M75" s="690">
        <f>+M74*ASSUM!$F$17</f>
        <v>6.5447999999999992E-2</v>
      </c>
      <c r="N75" s="690">
        <f>+ROUNDUP(N74*ASSUM!$F$17,2)</f>
        <v>0.04</v>
      </c>
      <c r="O75" s="690">
        <f>+O74*ASSUM!$G$17</f>
        <v>6.7715999999999998E-2</v>
      </c>
      <c r="P75" s="690">
        <f>+ROUNDUP(P74*ASSUM!$G$17,2)</f>
        <v>0.04</v>
      </c>
    </row>
    <row r="76" spans="2:16" s="18" customFormat="1" ht="15.75">
      <c r="B76" s="139">
        <f t="shared" si="8"/>
        <v>14</v>
      </c>
      <c r="C76" s="224" t="s">
        <v>1083</v>
      </c>
      <c r="D76" s="29"/>
      <c r="E76" s="690">
        <f>+E74-E75</f>
        <v>0.48600000000000004</v>
      </c>
      <c r="F76" s="690">
        <f>+F74-F75</f>
        <v>0.31031568000000004</v>
      </c>
      <c r="G76" s="455">
        <f t="shared" si="6"/>
        <v>-0.17568432</v>
      </c>
      <c r="H76" s="690">
        <f>+H74-H75</f>
        <v>0.5608439999999999</v>
      </c>
      <c r="I76" s="690">
        <f t="shared" ref="I76:K76" si="10">+I74-I75</f>
        <v>0</v>
      </c>
      <c r="J76" s="690">
        <f t="shared" si="10"/>
        <v>0</v>
      </c>
      <c r="K76" s="690">
        <f t="shared" si="10"/>
        <v>0.35177988558240003</v>
      </c>
      <c r="L76" s="455">
        <f t="shared" si="7"/>
        <v>-0.20906411441759987</v>
      </c>
      <c r="M76" s="690">
        <f>+M74-M75</f>
        <v>0.589032</v>
      </c>
      <c r="N76" s="690">
        <f>+N74-N75</f>
        <v>0.32328030200000002</v>
      </c>
      <c r="O76" s="690">
        <f>+O74-O75</f>
        <v>0.60944399999999999</v>
      </c>
      <c r="P76" s="690">
        <f>+P74-P75</f>
        <v>0.32328030200000002</v>
      </c>
    </row>
    <row r="77" spans="2:16" s="1" customFormat="1">
      <c r="B77" s="404" t="s">
        <v>737</v>
      </c>
      <c r="C77" s="11"/>
      <c r="D77" s="11"/>
      <c r="E77" s="11"/>
      <c r="F77" s="11"/>
      <c r="G77" s="11"/>
      <c r="H77" s="11"/>
    </row>
    <row r="78" spans="2:16" s="1" customFormat="1">
      <c r="B78" s="142"/>
      <c r="C78" s="156" t="s">
        <v>258</v>
      </c>
      <c r="D78" s="11"/>
      <c r="E78" s="11"/>
      <c r="F78" s="11"/>
      <c r="G78" s="11"/>
      <c r="H78" s="11"/>
      <c r="I78" s="11"/>
      <c r="J78" s="11"/>
    </row>
    <row r="79" spans="2:16" s="1" customFormat="1">
      <c r="B79" s="74"/>
      <c r="C79" s="10"/>
      <c r="D79" s="155"/>
      <c r="E79" s="155"/>
      <c r="F79" s="155"/>
      <c r="G79" s="155"/>
      <c r="H79" s="155"/>
      <c r="I79" s="16"/>
      <c r="J79" s="11"/>
      <c r="P79" s="52" t="s">
        <v>16</v>
      </c>
    </row>
    <row r="80" spans="2:16" s="396" customFormat="1">
      <c r="B80" s="1493" t="s">
        <v>157</v>
      </c>
      <c r="C80" s="1494" t="s">
        <v>49</v>
      </c>
      <c r="D80" s="1494" t="s">
        <v>81</v>
      </c>
      <c r="E80" s="1360" t="s">
        <v>146</v>
      </c>
      <c r="F80" s="1361"/>
      <c r="G80" s="1362"/>
      <c r="H80" s="1363" t="s">
        <v>147</v>
      </c>
      <c r="I80" s="1363"/>
      <c r="J80" s="1363"/>
      <c r="K80" s="1363"/>
      <c r="L80" s="1363"/>
      <c r="M80" s="1363" t="s">
        <v>148</v>
      </c>
      <c r="N80" s="1363"/>
      <c r="O80" s="1363" t="s">
        <v>149</v>
      </c>
      <c r="P80" s="1363"/>
    </row>
    <row r="81" spans="2:16" s="397" customFormat="1" ht="42.75">
      <c r="B81" s="1493"/>
      <c r="C81" s="1494"/>
      <c r="D81" s="1494"/>
      <c r="E81" s="391" t="s">
        <v>413</v>
      </c>
      <c r="F81" s="390" t="s">
        <v>12</v>
      </c>
      <c r="G81" s="391" t="s">
        <v>415</v>
      </c>
      <c r="H81" s="391" t="s">
        <v>413</v>
      </c>
      <c r="I81" s="391" t="s">
        <v>673</v>
      </c>
      <c r="J81" s="391" t="s">
        <v>717</v>
      </c>
      <c r="K81" s="391" t="s">
        <v>718</v>
      </c>
      <c r="L81" s="391" t="s">
        <v>732</v>
      </c>
      <c r="M81" s="391" t="s">
        <v>413</v>
      </c>
      <c r="N81" s="391" t="s">
        <v>671</v>
      </c>
      <c r="O81" s="391" t="s">
        <v>413</v>
      </c>
      <c r="P81" s="391" t="s">
        <v>671</v>
      </c>
    </row>
    <row r="82" spans="2:16">
      <c r="B82" s="139">
        <v>1</v>
      </c>
      <c r="C82" s="136" t="s">
        <v>245</v>
      </c>
      <c r="D82" s="131"/>
      <c r="E82" s="1484" t="s">
        <v>1001</v>
      </c>
      <c r="F82" s="1485"/>
      <c r="G82" s="1486"/>
      <c r="H82" s="41"/>
      <c r="I82" s="41"/>
      <c r="J82" s="41"/>
      <c r="K82" s="41"/>
      <c r="L82" s="41"/>
      <c r="M82" s="41"/>
      <c r="N82" s="41"/>
      <c r="O82" s="41"/>
      <c r="P82" s="41"/>
    </row>
    <row r="83" spans="2:16">
      <c r="B83" s="139">
        <f>B82+1</f>
        <v>2</v>
      </c>
      <c r="C83" s="136" t="s">
        <v>329</v>
      </c>
      <c r="D83" s="131"/>
      <c r="E83" s="1487"/>
      <c r="F83" s="1488"/>
      <c r="G83" s="1489"/>
      <c r="H83" s="41"/>
      <c r="I83" s="41"/>
      <c r="J83" s="41"/>
      <c r="K83" s="41"/>
      <c r="L83" s="41"/>
      <c r="M83" s="41"/>
      <c r="N83" s="41"/>
      <c r="O83" s="41"/>
      <c r="P83" s="41"/>
    </row>
    <row r="84" spans="2:16" ht="30">
      <c r="B84" s="139">
        <f t="shared" ref="B84:B96" si="11">B83+1</f>
        <v>3</v>
      </c>
      <c r="C84" s="79" t="s">
        <v>251</v>
      </c>
      <c r="D84" s="131"/>
      <c r="E84" s="1490"/>
      <c r="F84" s="1491"/>
      <c r="G84" s="1492"/>
      <c r="H84" s="41"/>
      <c r="I84" s="41"/>
      <c r="J84" s="41"/>
      <c r="K84" s="41"/>
      <c r="L84" s="41"/>
      <c r="M84" s="41"/>
      <c r="N84" s="41"/>
      <c r="O84" s="41"/>
      <c r="P84" s="41"/>
    </row>
    <row r="85" spans="2:16">
      <c r="B85" s="139">
        <f t="shared" si="11"/>
        <v>4</v>
      </c>
      <c r="C85" s="49" t="s">
        <v>247</v>
      </c>
      <c r="D85" s="133"/>
      <c r="E85" s="41"/>
      <c r="F85" s="41"/>
      <c r="G85" s="41"/>
      <c r="H85" s="41"/>
      <c r="I85" s="41"/>
      <c r="J85" s="41"/>
      <c r="K85" s="41"/>
      <c r="L85" s="41"/>
      <c r="M85" s="41"/>
      <c r="N85" s="41"/>
      <c r="O85" s="41"/>
      <c r="P85" s="41"/>
    </row>
    <row r="86" spans="2:16" ht="30">
      <c r="B86" s="139">
        <f t="shared" si="11"/>
        <v>5</v>
      </c>
      <c r="C86" s="164" t="s">
        <v>330</v>
      </c>
      <c r="D86" s="15"/>
      <c r="E86" s="14"/>
      <c r="F86" s="14"/>
      <c r="G86" s="14"/>
      <c r="H86" s="14"/>
      <c r="I86" s="14"/>
      <c r="J86" s="14"/>
      <c r="K86" s="14"/>
      <c r="L86" s="14"/>
      <c r="M86" s="14"/>
      <c r="N86" s="14"/>
      <c r="O86" s="14"/>
      <c r="P86" s="14"/>
    </row>
    <row r="87" spans="2:16">
      <c r="B87" s="139">
        <f t="shared" si="11"/>
        <v>6</v>
      </c>
      <c r="C87" s="130" t="s">
        <v>212</v>
      </c>
      <c r="D87" s="15"/>
      <c r="E87" s="14"/>
      <c r="F87" s="14"/>
      <c r="G87" s="14"/>
      <c r="H87" s="14"/>
      <c r="I87" s="14"/>
      <c r="J87" s="14"/>
      <c r="K87" s="14"/>
      <c r="L87" s="14"/>
      <c r="M87" s="14"/>
      <c r="N87" s="14"/>
      <c r="O87" s="14"/>
      <c r="P87" s="14"/>
    </row>
    <row r="88" spans="2:16">
      <c r="B88" s="139"/>
      <c r="C88" s="130"/>
      <c r="D88" s="15"/>
      <c r="E88" s="14"/>
      <c r="F88" s="14"/>
      <c r="G88" s="14"/>
      <c r="H88" s="14"/>
      <c r="I88" s="14"/>
      <c r="J88" s="14"/>
      <c r="K88" s="14"/>
      <c r="L88" s="14"/>
      <c r="M88" s="14"/>
      <c r="N88" s="14"/>
      <c r="O88" s="14"/>
      <c r="P88" s="14"/>
    </row>
    <row r="89" spans="2:16">
      <c r="B89" s="139">
        <v>7</v>
      </c>
      <c r="C89" s="141" t="s">
        <v>209</v>
      </c>
      <c r="D89" s="15"/>
      <c r="E89" s="14"/>
      <c r="F89" s="14"/>
      <c r="G89" s="14"/>
      <c r="H89" s="14"/>
      <c r="I89" s="14"/>
      <c r="J89" s="14"/>
      <c r="K89" s="14"/>
      <c r="L89" s="14"/>
      <c r="M89" s="14"/>
      <c r="N89" s="14"/>
      <c r="O89" s="14"/>
      <c r="P89" s="14"/>
    </row>
    <row r="90" spans="2:16">
      <c r="B90" s="139">
        <f t="shared" si="11"/>
        <v>8</v>
      </c>
      <c r="C90" s="50" t="s">
        <v>211</v>
      </c>
      <c r="D90" s="15"/>
      <c r="E90" s="14"/>
      <c r="F90" s="14"/>
      <c r="G90" s="14"/>
      <c r="H90" s="14"/>
      <c r="I90" s="14"/>
      <c r="J90" s="14"/>
      <c r="K90" s="14"/>
      <c r="L90" s="14"/>
      <c r="M90" s="14"/>
      <c r="N90" s="14"/>
      <c r="O90" s="14"/>
      <c r="P90" s="14"/>
    </row>
    <row r="91" spans="2:16">
      <c r="B91" s="139">
        <f t="shared" si="11"/>
        <v>9</v>
      </c>
      <c r="C91" s="51" t="s">
        <v>75</v>
      </c>
      <c r="D91" s="15"/>
      <c r="E91" s="14"/>
      <c r="F91" s="14"/>
      <c r="G91" s="14"/>
      <c r="H91" s="14"/>
      <c r="I91" s="14"/>
      <c r="J91" s="14"/>
      <c r="K91" s="14"/>
      <c r="L91" s="14"/>
      <c r="M91" s="14"/>
      <c r="N91" s="14"/>
      <c r="O91" s="14"/>
      <c r="P91" s="14"/>
    </row>
    <row r="92" spans="2:16" s="18" customFormat="1" ht="15.75">
      <c r="B92" s="225">
        <v>10</v>
      </c>
      <c r="C92" s="50" t="s">
        <v>460</v>
      </c>
      <c r="D92" s="294"/>
      <c r="E92" s="295"/>
      <c r="F92" s="383"/>
      <c r="G92" s="383"/>
      <c r="H92" s="295"/>
      <c r="I92" s="295"/>
      <c r="J92" s="295"/>
      <c r="K92" s="383"/>
      <c r="L92" s="383"/>
      <c r="M92" s="295"/>
      <c r="N92" s="295"/>
      <c r="O92" s="295"/>
      <c r="P92" s="295"/>
    </row>
    <row r="93" spans="2:16">
      <c r="B93" s="139"/>
      <c r="C93" s="51"/>
      <c r="D93" s="15"/>
      <c r="E93" s="14"/>
      <c r="F93" s="14"/>
      <c r="G93" s="14"/>
      <c r="H93" s="14"/>
      <c r="I93" s="14"/>
      <c r="J93" s="14"/>
      <c r="K93" s="14"/>
      <c r="L93" s="14"/>
      <c r="M93" s="14"/>
      <c r="N93" s="14"/>
      <c r="O93" s="14"/>
      <c r="P93" s="14"/>
    </row>
    <row r="94" spans="2:16" s="18" customFormat="1" ht="15.75">
      <c r="B94" s="139">
        <v>11</v>
      </c>
      <c r="C94" s="226" t="s">
        <v>328</v>
      </c>
      <c r="D94" s="29"/>
      <c r="E94" s="29"/>
      <c r="F94" s="29"/>
      <c r="G94" s="29"/>
      <c r="H94" s="29"/>
      <c r="I94" s="29"/>
      <c r="J94" s="29"/>
      <c r="K94" s="29"/>
      <c r="L94" s="29"/>
      <c r="M94" s="29"/>
      <c r="N94" s="29"/>
      <c r="O94" s="29"/>
      <c r="P94" s="29"/>
    </row>
    <row r="95" spans="2:16" s="18" customFormat="1">
      <c r="B95" s="139">
        <f t="shared" si="11"/>
        <v>12</v>
      </c>
      <c r="C95" s="50" t="s">
        <v>211</v>
      </c>
      <c r="D95" s="29"/>
      <c r="E95" s="29"/>
      <c r="F95" s="29"/>
      <c r="G95" s="29"/>
      <c r="H95" s="29"/>
      <c r="I95" s="29"/>
      <c r="J95" s="29"/>
      <c r="K95" s="29"/>
      <c r="L95" s="29"/>
      <c r="M95" s="29"/>
      <c r="N95" s="29"/>
      <c r="O95" s="29"/>
      <c r="P95" s="29"/>
    </row>
    <row r="96" spans="2:16" s="18" customFormat="1" ht="15.75">
      <c r="B96" s="139">
        <f t="shared" si="11"/>
        <v>13</v>
      </c>
      <c r="C96" s="223" t="s">
        <v>328</v>
      </c>
      <c r="D96" s="29"/>
      <c r="E96" s="29"/>
      <c r="F96" s="29"/>
      <c r="G96" s="29"/>
      <c r="H96" s="29"/>
      <c r="I96" s="29"/>
      <c r="J96" s="29"/>
      <c r="K96" s="29"/>
      <c r="L96" s="29"/>
      <c r="M96" s="29"/>
      <c r="N96" s="29"/>
      <c r="O96" s="29"/>
      <c r="P96" s="29"/>
    </row>
    <row r="97" spans="2:8" s="1" customFormat="1">
      <c r="B97" s="404" t="s">
        <v>737</v>
      </c>
      <c r="C97" s="11"/>
      <c r="D97" s="11"/>
      <c r="E97" s="11"/>
      <c r="F97" s="11"/>
      <c r="G97" s="11"/>
      <c r="H97" s="11"/>
    </row>
  </sheetData>
  <mergeCells count="24">
    <mergeCell ref="C10:C11"/>
    <mergeCell ref="B10:B11"/>
    <mergeCell ref="E10:G10"/>
    <mergeCell ref="B32:B33"/>
    <mergeCell ref="C32:C33"/>
    <mergeCell ref="D32:D33"/>
    <mergeCell ref="E32:G32"/>
    <mergeCell ref="D10:D11"/>
    <mergeCell ref="D34:G49"/>
    <mergeCell ref="E82:G84"/>
    <mergeCell ref="M56:N56"/>
    <mergeCell ref="O56:P56"/>
    <mergeCell ref="B80:B81"/>
    <mergeCell ref="C80:C81"/>
    <mergeCell ref="D80:D81"/>
    <mergeCell ref="E80:G80"/>
    <mergeCell ref="H80:L80"/>
    <mergeCell ref="M80:N80"/>
    <mergeCell ref="O80:P80"/>
    <mergeCell ref="B56:B57"/>
    <mergeCell ref="C56:C57"/>
    <mergeCell ref="D56:D57"/>
    <mergeCell ref="E56:G56"/>
    <mergeCell ref="H56:L56"/>
  </mergeCells>
  <pageMargins left="0.74803149606299213" right="0.74803149606299213" top="0.98425196850393704" bottom="0.98425196850393704" header="0.51181102362204722" footer="0.51181102362204722"/>
  <pageSetup paperSize="9" scale="51" fitToHeight="0" orientation="landscape" r:id="rId1"/>
  <headerFooter alignWithMargins="0"/>
  <rowBreaks count="1" manualBreakCount="1">
    <brk id="77"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pageSetUpPr fitToPage="1"/>
  </sheetPr>
  <dimension ref="B1:Q46"/>
  <sheetViews>
    <sheetView showGridLines="0" view="pageBreakPreview" topLeftCell="E16" zoomScale="70" zoomScaleNormal="70" zoomScaleSheetLayoutView="70" workbookViewId="0">
      <selection activeCell="C11" sqref="C11:C12"/>
    </sheetView>
  </sheetViews>
  <sheetFormatPr defaultColWidth="9.140625" defaultRowHeight="15"/>
  <cols>
    <col min="1" max="1" width="6.28515625" style="18" customWidth="1"/>
    <col min="2" max="2" width="8.28515625" style="18" customWidth="1"/>
    <col min="3" max="3" width="64" style="18" customWidth="1"/>
    <col min="4" max="6" width="18.85546875" style="18" customWidth="1"/>
    <col min="7" max="10" width="20.28515625" style="18" customWidth="1"/>
    <col min="11" max="11" width="21.42578125" style="18" customWidth="1"/>
    <col min="12" max="12" width="16.28515625" style="18" customWidth="1"/>
    <col min="13" max="13" width="16.85546875" style="18" customWidth="1"/>
    <col min="14" max="14" width="19.140625" style="18" customWidth="1"/>
    <col min="15" max="17" width="18.5703125" style="18" customWidth="1"/>
    <col min="18" max="16384" width="9.140625" style="18"/>
  </cols>
  <sheetData>
    <row r="1" spans="2:17">
      <c r="D1" s="183"/>
      <c r="E1" s="183"/>
    </row>
    <row r="2" spans="2:17">
      <c r="D2" s="183"/>
      <c r="E2" s="183"/>
    </row>
    <row r="3" spans="2:17">
      <c r="D3" s="183"/>
      <c r="E3" s="183"/>
    </row>
    <row r="4" spans="2:17">
      <c r="D4" s="183"/>
      <c r="E4" s="183"/>
      <c r="I4" s="375" t="s">
        <v>906</v>
      </c>
    </row>
    <row r="5" spans="2:17">
      <c r="D5" s="185"/>
      <c r="E5" s="185"/>
      <c r="I5" s="373" t="s">
        <v>722</v>
      </c>
    </row>
    <row r="6" spans="2:17">
      <c r="D6" s="185"/>
      <c r="E6" s="185"/>
      <c r="I6" s="277" t="s">
        <v>504</v>
      </c>
    </row>
    <row r="7" spans="2:17">
      <c r="D7" s="183"/>
      <c r="E7" s="183"/>
    </row>
    <row r="8" spans="2:17">
      <c r="D8" s="183"/>
      <c r="E8" s="183"/>
    </row>
    <row r="9" spans="2:17">
      <c r="B9" s="156" t="s">
        <v>325</v>
      </c>
      <c r="C9" s="227"/>
      <c r="F9" s="227"/>
      <c r="G9" s="743"/>
      <c r="H9" s="743"/>
      <c r="I9" s="227"/>
      <c r="J9" s="227"/>
    </row>
    <row r="10" spans="2:17">
      <c r="Q10" s="27" t="s">
        <v>16</v>
      </c>
    </row>
    <row r="11" spans="2:17" s="389" customFormat="1" ht="12.75" customHeight="1">
      <c r="B11" s="1355" t="s">
        <v>157</v>
      </c>
      <c r="C11" s="1358" t="s">
        <v>49</v>
      </c>
      <c r="D11" s="1360" t="s">
        <v>670</v>
      </c>
      <c r="E11" s="1361"/>
      <c r="F11" s="1362"/>
      <c r="G11" s="1360" t="s">
        <v>146</v>
      </c>
      <c r="H11" s="1361"/>
      <c r="I11" s="1362"/>
      <c r="J11" s="1360" t="s">
        <v>147</v>
      </c>
      <c r="K11" s="1361"/>
      <c r="L11" s="1362"/>
      <c r="M11" s="1360" t="s">
        <v>148</v>
      </c>
      <c r="N11" s="1362"/>
      <c r="O11" s="1363" t="s">
        <v>149</v>
      </c>
      <c r="P11" s="1363"/>
      <c r="Q11" s="1363" t="s">
        <v>42</v>
      </c>
    </row>
    <row r="12" spans="2:17" s="389" customFormat="1" ht="45.6" customHeight="1">
      <c r="B12" s="1356"/>
      <c r="C12" s="1358"/>
      <c r="D12" s="409" t="s">
        <v>413</v>
      </c>
      <c r="E12" s="391" t="s">
        <v>414</v>
      </c>
      <c r="F12" s="391" t="s">
        <v>415</v>
      </c>
      <c r="G12" s="390" t="s">
        <v>413</v>
      </c>
      <c r="H12" s="391" t="s">
        <v>414</v>
      </c>
      <c r="I12" s="391" t="s">
        <v>415</v>
      </c>
      <c r="J12" s="391" t="s">
        <v>413</v>
      </c>
      <c r="K12" s="391" t="s">
        <v>71</v>
      </c>
      <c r="L12" s="391" t="s">
        <v>417</v>
      </c>
      <c r="M12" s="391" t="s">
        <v>413</v>
      </c>
      <c r="N12" s="391" t="s">
        <v>671</v>
      </c>
      <c r="O12" s="391" t="s">
        <v>413</v>
      </c>
      <c r="P12" s="391" t="s">
        <v>671</v>
      </c>
      <c r="Q12" s="1363"/>
    </row>
    <row r="13" spans="2:17">
      <c r="B13" s="92">
        <v>1</v>
      </c>
      <c r="C13" s="235" t="s">
        <v>50</v>
      </c>
      <c r="D13" s="466">
        <f>+'F5.1'!D21*0.3</f>
        <v>12.99</v>
      </c>
      <c r="E13" s="466">
        <f>+'F5.1'!D21*30%</f>
        <v>12.99</v>
      </c>
      <c r="F13" s="466">
        <f>E13-D13</f>
        <v>0</v>
      </c>
      <c r="G13" s="466">
        <f>D18</f>
        <v>13.833</v>
      </c>
      <c r="H13" s="466">
        <f>E18</f>
        <v>15.266534130167072</v>
      </c>
      <c r="I13" s="466">
        <f>H13-G13</f>
        <v>1.4335341301670717</v>
      </c>
      <c r="J13" s="466">
        <f>G18</f>
        <v>14.063000000000001</v>
      </c>
      <c r="K13" s="466">
        <f>H18</f>
        <v>15.425602780219334</v>
      </c>
      <c r="L13" s="466">
        <f>K13-J13</f>
        <v>1.3626027802193335</v>
      </c>
      <c r="M13" s="466">
        <f>J18</f>
        <v>15.153</v>
      </c>
      <c r="N13" s="466">
        <f>K18</f>
        <v>15.551602780219334</v>
      </c>
      <c r="O13" s="466">
        <f>M18</f>
        <v>16.042999999999999</v>
      </c>
      <c r="P13" s="466">
        <f>N18</f>
        <v>15.821602780219333</v>
      </c>
      <c r="Q13" s="29"/>
    </row>
    <row r="14" spans="2:17">
      <c r="B14" s="95">
        <f>B13+1</f>
        <v>2</v>
      </c>
      <c r="C14" s="235" t="s">
        <v>51</v>
      </c>
      <c r="D14" s="466">
        <v>3.34</v>
      </c>
      <c r="E14" s="466">
        <f>+'F4'!E15</f>
        <v>7.5884471005569072</v>
      </c>
      <c r="F14" s="466">
        <f>E14-D14</f>
        <v>4.2484471005569073</v>
      </c>
      <c r="G14" s="466">
        <f>G16/30%</f>
        <v>0.76666666666666672</v>
      </c>
      <c r="H14" s="466">
        <f>+'F4'!H15</f>
        <v>0.53022883350753802</v>
      </c>
      <c r="I14" s="466">
        <f>H14-G14</f>
        <v>-0.2364378331591287</v>
      </c>
      <c r="J14" s="466">
        <f>J16/30%</f>
        <v>3.6333333333333337</v>
      </c>
      <c r="K14" s="466">
        <f>+'F4'!M15</f>
        <v>0.42</v>
      </c>
      <c r="L14" s="466">
        <f t="shared" ref="L14:L23" si="0">K14-J14</f>
        <v>-3.2133333333333338</v>
      </c>
      <c r="M14" s="466">
        <f>M16/30%</f>
        <v>2.9666666666666668</v>
      </c>
      <c r="N14" s="466">
        <f>+'F4'!P15</f>
        <v>0.9</v>
      </c>
      <c r="O14" s="466">
        <v>0</v>
      </c>
      <c r="P14" s="466">
        <f>+'F4'!R15</f>
        <v>0.9</v>
      </c>
      <c r="Q14" s="29"/>
    </row>
    <row r="15" spans="2:17" ht="30">
      <c r="B15" s="95">
        <f t="shared" ref="B15:B23" si="1">B14+1</f>
        <v>3</v>
      </c>
      <c r="C15" s="235" t="s">
        <v>463</v>
      </c>
      <c r="D15" s="466">
        <v>0.53</v>
      </c>
      <c r="E15" s="466">
        <v>0</v>
      </c>
      <c r="F15" s="466">
        <f>E15-D15</f>
        <v>-0.53</v>
      </c>
      <c r="G15" s="466">
        <v>0</v>
      </c>
      <c r="H15" s="466">
        <v>0</v>
      </c>
      <c r="I15" s="466">
        <f t="shared" ref="I15" si="2">H15-G15</f>
        <v>0</v>
      </c>
      <c r="J15" s="466">
        <v>0</v>
      </c>
      <c r="K15" s="466">
        <v>0</v>
      </c>
      <c r="L15" s="466">
        <f t="shared" si="0"/>
        <v>0</v>
      </c>
      <c r="M15" s="466">
        <v>0</v>
      </c>
      <c r="N15" s="466">
        <v>0</v>
      </c>
      <c r="O15" s="466">
        <v>0</v>
      </c>
      <c r="P15" s="466">
        <v>0</v>
      </c>
      <c r="Q15" s="29"/>
    </row>
    <row r="16" spans="2:17">
      <c r="B16" s="95">
        <f t="shared" si="1"/>
        <v>4</v>
      </c>
      <c r="C16" s="235" t="s">
        <v>52</v>
      </c>
      <c r="D16" s="466">
        <f>(D14-D15)*30%</f>
        <v>0.84299999999999986</v>
      </c>
      <c r="E16" s="466">
        <f>(E14-E15)*30%</f>
        <v>2.2765341301670721</v>
      </c>
      <c r="F16" s="466">
        <f>E16-D16</f>
        <v>1.4335341301670721</v>
      </c>
      <c r="G16" s="466">
        <v>0.23</v>
      </c>
      <c r="H16" s="466">
        <f>(H14-H15)*30%</f>
        <v>0.1590686500522614</v>
      </c>
      <c r="I16" s="466">
        <f>H16-G16</f>
        <v>-7.0931349947738614E-2</v>
      </c>
      <c r="J16" s="466">
        <v>1.0900000000000001</v>
      </c>
      <c r="K16" s="466">
        <f>(K14-K15)*30%</f>
        <v>0.126</v>
      </c>
      <c r="L16" s="466">
        <f t="shared" si="0"/>
        <v>-0.96400000000000008</v>
      </c>
      <c r="M16" s="466">
        <v>0.89</v>
      </c>
      <c r="N16" s="466">
        <f>(N14-N15)*30%</f>
        <v>0.27</v>
      </c>
      <c r="O16" s="466">
        <v>0</v>
      </c>
      <c r="P16" s="466">
        <f>(P14-P15)*30%</f>
        <v>0.27</v>
      </c>
      <c r="Q16" s="29"/>
    </row>
    <row r="17" spans="2:17" ht="30">
      <c r="B17" s="95">
        <f t="shared" si="1"/>
        <v>5</v>
      </c>
      <c r="C17" s="296" t="s">
        <v>53</v>
      </c>
      <c r="D17" s="466">
        <v>0</v>
      </c>
      <c r="E17" s="466">
        <v>0</v>
      </c>
      <c r="F17" s="466">
        <f t="shared" ref="F17:F19" si="3">E17-D17</f>
        <v>0</v>
      </c>
      <c r="G17" s="466">
        <v>0</v>
      </c>
      <c r="H17" s="466">
        <v>0</v>
      </c>
      <c r="I17" s="466">
        <f>H17-G17</f>
        <v>0</v>
      </c>
      <c r="J17" s="466">
        <v>0</v>
      </c>
      <c r="K17" s="466">
        <v>0</v>
      </c>
      <c r="L17" s="466">
        <f t="shared" si="0"/>
        <v>0</v>
      </c>
      <c r="M17" s="466">
        <v>0</v>
      </c>
      <c r="N17" s="466">
        <v>0</v>
      </c>
      <c r="O17" s="466">
        <v>0</v>
      </c>
      <c r="P17" s="466">
        <v>0</v>
      </c>
      <c r="Q17" s="29"/>
    </row>
    <row r="18" spans="2:17">
      <c r="B18" s="95">
        <f t="shared" si="1"/>
        <v>6</v>
      </c>
      <c r="C18" s="235" t="s">
        <v>54</v>
      </c>
      <c r="D18" s="466">
        <f>D13+D16-D17</f>
        <v>13.833</v>
      </c>
      <c r="E18" s="466">
        <f t="shared" ref="E18:P18" si="4">E13+E16-E17</f>
        <v>15.266534130167072</v>
      </c>
      <c r="F18" s="466">
        <f t="shared" si="4"/>
        <v>1.4335341301670721</v>
      </c>
      <c r="G18" s="466">
        <f t="shared" si="4"/>
        <v>14.063000000000001</v>
      </c>
      <c r="H18" s="466">
        <f>H13+H16-H17</f>
        <v>15.425602780219334</v>
      </c>
      <c r="I18" s="466">
        <f>I13+I16-I17</f>
        <v>1.362602780219333</v>
      </c>
      <c r="J18" s="466">
        <f t="shared" si="4"/>
        <v>15.153</v>
      </c>
      <c r="K18" s="466">
        <f t="shared" si="4"/>
        <v>15.551602780219334</v>
      </c>
      <c r="L18" s="466">
        <f t="shared" si="4"/>
        <v>0.39860278021933337</v>
      </c>
      <c r="M18" s="466">
        <f t="shared" si="4"/>
        <v>16.042999999999999</v>
      </c>
      <c r="N18" s="466">
        <f t="shared" si="4"/>
        <v>15.821602780219333</v>
      </c>
      <c r="O18" s="466">
        <f t="shared" si="4"/>
        <v>16.042999999999999</v>
      </c>
      <c r="P18" s="466">
        <f t="shared" si="4"/>
        <v>16.091602780219333</v>
      </c>
      <c r="Q18" s="29"/>
    </row>
    <row r="19" spans="2:17">
      <c r="B19" s="95"/>
      <c r="C19" s="235"/>
      <c r="D19" s="466"/>
      <c r="E19" s="466"/>
      <c r="F19" s="466">
        <f t="shared" si="3"/>
        <v>0</v>
      </c>
      <c r="G19" s="466"/>
      <c r="H19" s="466"/>
      <c r="I19" s="466">
        <f>H19-G19</f>
        <v>0</v>
      </c>
      <c r="J19" s="466"/>
      <c r="K19" s="466"/>
      <c r="L19" s="466">
        <f t="shared" si="0"/>
        <v>0</v>
      </c>
      <c r="M19" s="466"/>
      <c r="N19" s="466"/>
      <c r="O19" s="466"/>
      <c r="P19" s="466"/>
      <c r="Q19" s="29"/>
    </row>
    <row r="20" spans="2:17">
      <c r="B20" s="95"/>
      <c r="C20" s="96" t="s">
        <v>222</v>
      </c>
      <c r="D20" s="466"/>
      <c r="E20" s="466"/>
      <c r="F20" s="466">
        <f>E20-D20</f>
        <v>0</v>
      </c>
      <c r="G20" s="466"/>
      <c r="H20" s="466"/>
      <c r="I20" s="466">
        <f>H20-G20</f>
        <v>0</v>
      </c>
      <c r="J20" s="466"/>
      <c r="K20" s="466"/>
      <c r="L20" s="466">
        <f t="shared" si="0"/>
        <v>0</v>
      </c>
      <c r="M20" s="466"/>
      <c r="N20" s="466"/>
      <c r="O20" s="466"/>
      <c r="P20" s="466"/>
      <c r="Q20" s="29"/>
    </row>
    <row r="21" spans="2:17">
      <c r="B21" s="874">
        <v>7</v>
      </c>
      <c r="C21" s="106" t="s">
        <v>223</v>
      </c>
      <c r="D21" s="560">
        <f>15.5%*D13*358/366</f>
        <v>1.9694401639344263</v>
      </c>
      <c r="E21" s="560">
        <f>15.5%*E13*358/366</f>
        <v>1.9694401639344263</v>
      </c>
      <c r="F21" s="560">
        <f>E21-D21</f>
        <v>0</v>
      </c>
      <c r="G21" s="560">
        <f>15.5%*G13</f>
        <v>2.1441150000000002</v>
      </c>
      <c r="H21" s="560">
        <f>15.5%*H13</f>
        <v>2.366312790175896</v>
      </c>
      <c r="I21" s="560">
        <f>H21-G21</f>
        <v>0.2221977901758958</v>
      </c>
      <c r="J21" s="560">
        <f>15.5%*J13</f>
        <v>2.1797650000000002</v>
      </c>
      <c r="K21" s="560">
        <f t="shared" ref="K21:M21" si="5">15.5%*K13</f>
        <v>2.3909684309339969</v>
      </c>
      <c r="L21" s="560">
        <f>15.5%*L13</f>
        <v>0.21120343093399668</v>
      </c>
      <c r="M21" s="560">
        <f t="shared" si="5"/>
        <v>2.3487149999999999</v>
      </c>
      <c r="N21" s="560">
        <f t="shared" ref="N21:O21" si="6">15.5%*N13</f>
        <v>2.4104984309339965</v>
      </c>
      <c r="O21" s="560">
        <f t="shared" si="6"/>
        <v>2.4866649999999999</v>
      </c>
      <c r="P21" s="560">
        <f t="shared" ref="P21" si="7">15.5%*P13</f>
        <v>2.4523484309339967</v>
      </c>
      <c r="Q21" s="29"/>
    </row>
    <row r="22" spans="2:17">
      <c r="B22" s="874">
        <f t="shared" si="1"/>
        <v>8</v>
      </c>
      <c r="C22" s="106" t="s">
        <v>224</v>
      </c>
      <c r="D22" s="560">
        <f>D16/2*15.5%*358/366</f>
        <v>6.3904467213114741E-2</v>
      </c>
      <c r="E22" s="560">
        <f>E16/2*15.5%*358/366</f>
        <v>0.17257497115159948</v>
      </c>
      <c r="F22" s="560">
        <f>E22-D22</f>
        <v>0.10867050393848474</v>
      </c>
      <c r="G22" s="560">
        <f>G16/2*15.5%</f>
        <v>1.7825000000000001E-2</v>
      </c>
      <c r="H22" s="560">
        <f>H16/2*15.5%</f>
        <v>1.2327820379050258E-2</v>
      </c>
      <c r="I22" s="560">
        <f>H22-G22</f>
        <v>-5.4971796209497426E-3</v>
      </c>
      <c r="J22" s="560">
        <f>J16/2*15.5%</f>
        <v>8.4475000000000008E-2</v>
      </c>
      <c r="K22" s="560">
        <f t="shared" ref="K22:M22" si="8">K16/2*15.5%</f>
        <v>9.7649999999999994E-3</v>
      </c>
      <c r="L22" s="560">
        <f>L16/2*15.5%</f>
        <v>-7.4710000000000013E-2</v>
      </c>
      <c r="M22" s="560">
        <f t="shared" si="8"/>
        <v>6.8974999999999995E-2</v>
      </c>
      <c r="N22" s="560">
        <f t="shared" ref="N22:O22" si="9">N16/2*15.5%</f>
        <v>2.0925000000000003E-2</v>
      </c>
      <c r="O22" s="560">
        <f t="shared" si="9"/>
        <v>0</v>
      </c>
      <c r="P22" s="560">
        <f t="shared" ref="P22" si="10">P16/2*15.5%</f>
        <v>2.0925000000000003E-2</v>
      </c>
      <c r="Q22" s="29"/>
    </row>
    <row r="23" spans="2:17">
      <c r="B23" s="873">
        <f t="shared" si="1"/>
        <v>9</v>
      </c>
      <c r="C23" s="288" t="s">
        <v>225</v>
      </c>
      <c r="D23" s="845">
        <f>D21+D22</f>
        <v>2.0333446311475409</v>
      </c>
      <c r="E23" s="845">
        <f>E21+E22</f>
        <v>2.1420151350860257</v>
      </c>
      <c r="F23" s="845">
        <f>E23-D23</f>
        <v>0.10867050393848476</v>
      </c>
      <c r="G23" s="845">
        <f>G21+G22</f>
        <v>2.1619400000000004</v>
      </c>
      <c r="H23" s="845">
        <f>H21+H22</f>
        <v>2.3786406105549465</v>
      </c>
      <c r="I23" s="845">
        <f>H23-G23</f>
        <v>0.21670061055494605</v>
      </c>
      <c r="J23" s="845">
        <f>J21+J22</f>
        <v>2.26424</v>
      </c>
      <c r="K23" s="845">
        <f>K21+K22</f>
        <v>2.4007334309339967</v>
      </c>
      <c r="L23" s="845">
        <f t="shared" si="0"/>
        <v>0.13649343093399668</v>
      </c>
      <c r="M23" s="845">
        <f>M21+M22</f>
        <v>2.4176899999999999</v>
      </c>
      <c r="N23" s="845">
        <f>N21+N22</f>
        <v>2.4314234309339966</v>
      </c>
      <c r="O23" s="845">
        <f>O21+O22</f>
        <v>2.4866649999999999</v>
      </c>
      <c r="P23" s="845">
        <f>P21+P22</f>
        <v>2.4732734309339968</v>
      </c>
      <c r="Q23" s="29"/>
    </row>
    <row r="25" spans="2:17">
      <c r="B25" s="27" t="s">
        <v>513</v>
      </c>
      <c r="C25" s="406" t="s">
        <v>739</v>
      </c>
    </row>
    <row r="26" spans="2:17">
      <c r="C26" s="406" t="s">
        <v>740</v>
      </c>
    </row>
    <row r="27" spans="2:17">
      <c r="B27" s="142"/>
      <c r="C27" s="18" t="s">
        <v>747</v>
      </c>
    </row>
    <row r="28" spans="2:17">
      <c r="B28" s="156" t="s">
        <v>258</v>
      </c>
    </row>
    <row r="29" spans="2:17">
      <c r="B29" s="156"/>
      <c r="Q29" s="27" t="s">
        <v>16</v>
      </c>
    </row>
    <row r="30" spans="2:17" s="389" customFormat="1" ht="12.75" customHeight="1">
      <c r="B30" s="1355" t="s">
        <v>157</v>
      </c>
      <c r="C30" s="1358" t="s">
        <v>49</v>
      </c>
      <c r="D30" s="1360" t="s">
        <v>670</v>
      </c>
      <c r="E30" s="1361"/>
      <c r="F30" s="1362"/>
      <c r="G30" s="1360" t="s">
        <v>146</v>
      </c>
      <c r="H30" s="1361"/>
      <c r="I30" s="1362"/>
      <c r="J30" s="1360" t="s">
        <v>147</v>
      </c>
      <c r="K30" s="1361"/>
      <c r="L30" s="1362"/>
      <c r="M30" s="1360" t="s">
        <v>148</v>
      </c>
      <c r="N30" s="1362"/>
      <c r="O30" s="1363" t="s">
        <v>149</v>
      </c>
      <c r="P30" s="1363"/>
      <c r="Q30" s="1363" t="s">
        <v>42</v>
      </c>
    </row>
    <row r="31" spans="2:17" s="389" customFormat="1" ht="45.6" customHeight="1">
      <c r="B31" s="1356"/>
      <c r="C31" s="1358"/>
      <c r="D31" s="409" t="s">
        <v>413</v>
      </c>
      <c r="E31" s="391" t="s">
        <v>414</v>
      </c>
      <c r="F31" s="391" t="s">
        <v>415</v>
      </c>
      <c r="G31" s="390" t="s">
        <v>413</v>
      </c>
      <c r="H31" s="391" t="s">
        <v>414</v>
      </c>
      <c r="I31" s="391" t="s">
        <v>415</v>
      </c>
      <c r="J31" s="391" t="s">
        <v>413</v>
      </c>
      <c r="K31" s="391" t="s">
        <v>71</v>
      </c>
      <c r="L31" s="391" t="s">
        <v>417</v>
      </c>
      <c r="M31" s="391" t="s">
        <v>413</v>
      </c>
      <c r="N31" s="391" t="s">
        <v>671</v>
      </c>
      <c r="O31" s="391" t="s">
        <v>413</v>
      </c>
      <c r="P31" s="391" t="s">
        <v>671</v>
      </c>
      <c r="Q31" s="1363"/>
    </row>
    <row r="32" spans="2:17">
      <c r="B32" s="92">
        <v>1</v>
      </c>
      <c r="C32" s="235" t="s">
        <v>50</v>
      </c>
      <c r="D32" s="466">
        <f>+'F5.2'!D21*0.3</f>
        <v>0.42599999999999999</v>
      </c>
      <c r="E32" s="466">
        <f>+'F5.2'!D21*0.3</f>
        <v>0.42599999999999999</v>
      </c>
      <c r="F32" s="466">
        <f>E32-D32</f>
        <v>0</v>
      </c>
      <c r="G32" s="466">
        <f>D37-0.01</f>
        <v>0.54499999999999993</v>
      </c>
      <c r="H32" s="466">
        <f>E37</f>
        <v>0.50065769983292796</v>
      </c>
      <c r="I32" s="466">
        <f>H32-G32</f>
        <v>-4.4342300167071969E-2</v>
      </c>
      <c r="J32" s="466">
        <f>G37</f>
        <v>0.54499999999999993</v>
      </c>
      <c r="K32" s="466">
        <f>'F8'!H37</f>
        <v>0.50587426978066652</v>
      </c>
      <c r="L32" s="466">
        <f>K32-J32</f>
        <v>-3.912573021933341E-2</v>
      </c>
      <c r="M32" s="466">
        <f>J37+0.01</f>
        <v>0.55499999999999994</v>
      </c>
      <c r="N32" s="466">
        <f>K37</f>
        <v>0.50587426978066652</v>
      </c>
      <c r="O32" s="466">
        <f>M37</f>
        <v>0.55499999999999994</v>
      </c>
      <c r="P32" s="466">
        <f>N37</f>
        <v>0.50587426978066652</v>
      </c>
      <c r="Q32" s="29"/>
    </row>
    <row r="33" spans="2:17">
      <c r="B33" s="95">
        <f>B32+1</f>
        <v>2</v>
      </c>
      <c r="C33" s="235" t="s">
        <v>51</v>
      </c>
      <c r="D33" s="466">
        <v>0.43</v>
      </c>
      <c r="E33" s="466">
        <f>+'F4'!E30</f>
        <v>0.24885899944309314</v>
      </c>
      <c r="F33" s="466">
        <f t="shared" ref="F33:F42" si="11">E33-D33</f>
        <v>-0.18114100055690685</v>
      </c>
      <c r="G33" s="466">
        <v>0</v>
      </c>
      <c r="H33" s="466">
        <f>+'F4'!H30</f>
        <v>1.738856649246201E-2</v>
      </c>
      <c r="I33" s="466">
        <f t="shared" ref="I33:I42" si="12">H33-G33</f>
        <v>1.738856649246201E-2</v>
      </c>
      <c r="J33" s="466">
        <v>0</v>
      </c>
      <c r="K33" s="466">
        <f>+'F4'!M30</f>
        <v>0</v>
      </c>
      <c r="L33" s="466">
        <f t="shared" ref="L33:L42" si="13">K33-J33</f>
        <v>0</v>
      </c>
      <c r="M33" s="466">
        <v>0</v>
      </c>
      <c r="N33" s="466">
        <f>+'F4'!P30</f>
        <v>0</v>
      </c>
      <c r="O33" s="466">
        <v>0</v>
      </c>
      <c r="P33" s="466">
        <f>+'F4'!R30</f>
        <v>0</v>
      </c>
      <c r="Q33" s="29"/>
    </row>
    <row r="34" spans="2:17" ht="30">
      <c r="B34" s="95">
        <f t="shared" ref="B34:B42" si="14">B33+1</f>
        <v>3</v>
      </c>
      <c r="C34" s="235" t="s">
        <v>463</v>
      </c>
      <c r="D34" s="466">
        <v>0.01</v>
      </c>
      <c r="E34" s="466">
        <v>0</v>
      </c>
      <c r="F34" s="466">
        <f t="shared" si="11"/>
        <v>-0.01</v>
      </c>
      <c r="G34" s="466">
        <v>0</v>
      </c>
      <c r="H34" s="466">
        <v>0</v>
      </c>
      <c r="I34" s="466">
        <f t="shared" si="12"/>
        <v>0</v>
      </c>
      <c r="J34" s="466">
        <v>0</v>
      </c>
      <c r="K34" s="466">
        <v>0</v>
      </c>
      <c r="L34" s="466">
        <f t="shared" si="13"/>
        <v>0</v>
      </c>
      <c r="M34" s="466">
        <v>0</v>
      </c>
      <c r="N34" s="466">
        <v>0</v>
      </c>
      <c r="O34" s="466">
        <v>0</v>
      </c>
      <c r="P34" s="466">
        <v>0</v>
      </c>
      <c r="Q34" s="29"/>
    </row>
    <row r="35" spans="2:17">
      <c r="B35" s="95">
        <f t="shared" si="14"/>
        <v>4</v>
      </c>
      <c r="C35" s="235" t="s">
        <v>52</v>
      </c>
      <c r="D35" s="466">
        <f>D33*30%</f>
        <v>0.129</v>
      </c>
      <c r="E35" s="466">
        <f>(E33-E34)*30%</f>
        <v>7.4657699832927943E-2</v>
      </c>
      <c r="F35" s="466">
        <f t="shared" si="11"/>
        <v>-5.4342300167072061E-2</v>
      </c>
      <c r="G35" s="466">
        <v>0</v>
      </c>
      <c r="H35" s="466">
        <f>(H33-H34)*30%</f>
        <v>5.2165699477386028E-3</v>
      </c>
      <c r="I35" s="466">
        <f t="shared" si="12"/>
        <v>5.2165699477386028E-3</v>
      </c>
      <c r="J35" s="466">
        <f>(J33-J34)*30%</f>
        <v>0</v>
      </c>
      <c r="K35" s="466">
        <f>(K33-K34)*30%</f>
        <v>0</v>
      </c>
      <c r="L35" s="466">
        <f t="shared" si="13"/>
        <v>0</v>
      </c>
      <c r="M35" s="466">
        <f>(M33-M34)*30%</f>
        <v>0</v>
      </c>
      <c r="N35" s="466">
        <f>(N33-N34)*30%</f>
        <v>0</v>
      </c>
      <c r="O35" s="466">
        <f>(O33-O34)*30%</f>
        <v>0</v>
      </c>
      <c r="P35" s="466">
        <f>(P33-P34)*30%</f>
        <v>0</v>
      </c>
      <c r="Q35" s="29"/>
    </row>
    <row r="36" spans="2:17" ht="30">
      <c r="B36" s="95">
        <f t="shared" si="14"/>
        <v>5</v>
      </c>
      <c r="C36" s="296" t="s">
        <v>53</v>
      </c>
      <c r="D36" s="466">
        <v>0</v>
      </c>
      <c r="E36" s="466">
        <v>0</v>
      </c>
      <c r="F36" s="466">
        <f t="shared" si="11"/>
        <v>0</v>
      </c>
      <c r="G36" s="466">
        <v>0</v>
      </c>
      <c r="H36" s="466">
        <v>0</v>
      </c>
      <c r="I36" s="466">
        <f t="shared" si="12"/>
        <v>0</v>
      </c>
      <c r="J36" s="466">
        <v>0</v>
      </c>
      <c r="K36" s="466">
        <v>0</v>
      </c>
      <c r="L36" s="466">
        <f t="shared" si="13"/>
        <v>0</v>
      </c>
      <c r="M36" s="466">
        <v>0</v>
      </c>
      <c r="N36" s="466">
        <v>0</v>
      </c>
      <c r="O36" s="466">
        <v>0</v>
      </c>
      <c r="P36" s="466">
        <v>0</v>
      </c>
      <c r="Q36" s="29"/>
    </row>
    <row r="37" spans="2:17">
      <c r="B37" s="95">
        <f t="shared" si="14"/>
        <v>6</v>
      </c>
      <c r="C37" s="235" t="s">
        <v>54</v>
      </c>
      <c r="D37" s="466">
        <f>D32+D35-D36</f>
        <v>0.55499999999999994</v>
      </c>
      <c r="E37" s="466">
        <f t="shared" ref="E37:P37" si="15">E32+E35-E36</f>
        <v>0.50065769983292796</v>
      </c>
      <c r="F37" s="466">
        <f t="shared" si="15"/>
        <v>-5.4342300167072061E-2</v>
      </c>
      <c r="G37" s="466">
        <f t="shared" si="15"/>
        <v>0.54499999999999993</v>
      </c>
      <c r="H37" s="466">
        <f t="shared" si="15"/>
        <v>0.50587426978066652</v>
      </c>
      <c r="I37" s="466">
        <f t="shared" si="15"/>
        <v>-3.9125730219333368E-2</v>
      </c>
      <c r="J37" s="466">
        <f t="shared" si="15"/>
        <v>0.54499999999999993</v>
      </c>
      <c r="K37" s="466">
        <f t="shared" si="15"/>
        <v>0.50587426978066652</v>
      </c>
      <c r="L37" s="466">
        <f t="shared" si="15"/>
        <v>-3.912573021933341E-2</v>
      </c>
      <c r="M37" s="466">
        <f t="shared" si="15"/>
        <v>0.55499999999999994</v>
      </c>
      <c r="N37" s="466">
        <f t="shared" si="15"/>
        <v>0.50587426978066652</v>
      </c>
      <c r="O37" s="466">
        <f t="shared" si="15"/>
        <v>0.55499999999999994</v>
      </c>
      <c r="P37" s="466">
        <f t="shared" si="15"/>
        <v>0.50587426978066652</v>
      </c>
      <c r="Q37" s="29"/>
    </row>
    <row r="38" spans="2:17">
      <c r="B38" s="95"/>
      <c r="C38" s="235"/>
      <c r="D38" s="466"/>
      <c r="E38" s="466"/>
      <c r="F38" s="466">
        <f t="shared" si="11"/>
        <v>0</v>
      </c>
      <c r="G38" s="466"/>
      <c r="H38" s="466"/>
      <c r="I38" s="466">
        <f t="shared" si="12"/>
        <v>0</v>
      </c>
      <c r="J38" s="466"/>
      <c r="K38" s="466"/>
      <c r="L38" s="466">
        <f t="shared" si="13"/>
        <v>0</v>
      </c>
      <c r="M38" s="466"/>
      <c r="N38" s="466"/>
      <c r="O38" s="466"/>
      <c r="P38" s="466"/>
      <c r="Q38" s="29"/>
    </row>
    <row r="39" spans="2:17">
      <c r="B39" s="95"/>
      <c r="C39" s="96" t="s">
        <v>222</v>
      </c>
      <c r="D39" s="466"/>
      <c r="E39" s="466"/>
      <c r="F39" s="466">
        <f t="shared" si="11"/>
        <v>0</v>
      </c>
      <c r="G39" s="466"/>
      <c r="H39" s="466"/>
      <c r="I39" s="466">
        <f t="shared" si="12"/>
        <v>0</v>
      </c>
      <c r="J39" s="466"/>
      <c r="K39" s="466"/>
      <c r="L39" s="466">
        <f t="shared" si="13"/>
        <v>0</v>
      </c>
      <c r="M39" s="466"/>
      <c r="N39" s="466"/>
      <c r="O39" s="466"/>
      <c r="P39" s="466"/>
      <c r="Q39" s="29"/>
    </row>
    <row r="40" spans="2:17">
      <c r="B40" s="95">
        <v>7</v>
      </c>
      <c r="C40" s="94" t="s">
        <v>223</v>
      </c>
      <c r="D40" s="466">
        <f>17.5%*D32*358/366</f>
        <v>7.2920491803278684E-2</v>
      </c>
      <c r="E40" s="466">
        <f>ASSUM!C51*E37*358/365</f>
        <v>8.5934807930227217E-2</v>
      </c>
      <c r="F40" s="466">
        <f t="shared" si="11"/>
        <v>1.3014316126948533E-2</v>
      </c>
      <c r="G40" s="466">
        <f>17.5%*G32</f>
        <v>9.5374999999999988E-2</v>
      </c>
      <c r="H40" s="466">
        <f>17.5%*H32</f>
        <v>8.761509747076239E-2</v>
      </c>
      <c r="I40" s="466">
        <f t="shared" si="12"/>
        <v>-7.7599025292375973E-3</v>
      </c>
      <c r="J40" s="466">
        <f t="shared" ref="J40:K40" si="16">17.5%*J32</f>
        <v>9.5374999999999988E-2</v>
      </c>
      <c r="K40" s="466">
        <f t="shared" si="16"/>
        <v>8.8527997211616638E-2</v>
      </c>
      <c r="L40" s="466">
        <f t="shared" si="13"/>
        <v>-6.8470027883833495E-3</v>
      </c>
      <c r="M40" s="466">
        <f t="shared" ref="M40:P40" si="17">17.5%*M32</f>
        <v>9.7124999999999989E-2</v>
      </c>
      <c r="N40" s="466">
        <f t="shared" si="17"/>
        <v>8.8527997211616638E-2</v>
      </c>
      <c r="O40" s="466">
        <f t="shared" si="17"/>
        <v>9.7124999999999989E-2</v>
      </c>
      <c r="P40" s="466">
        <f t="shared" si="17"/>
        <v>8.8527997211616638E-2</v>
      </c>
      <c r="Q40" s="29"/>
    </row>
    <row r="41" spans="2:17">
      <c r="B41" s="95">
        <f t="shared" si="14"/>
        <v>8</v>
      </c>
      <c r="C41" s="94" t="s">
        <v>224</v>
      </c>
      <c r="D41" s="466">
        <f>D35/2*17.5%*358/366</f>
        <v>1.1040778688524589E-2</v>
      </c>
      <c r="E41" s="466">
        <f>ASSUM!C51*E35*358/365</f>
        <v>1.2814533957624479E-2</v>
      </c>
      <c r="F41" s="466">
        <f t="shared" si="11"/>
        <v>1.7737552690998901E-3</v>
      </c>
      <c r="G41" s="466">
        <f>G35/2*17.5%</f>
        <v>0</v>
      </c>
      <c r="H41" s="466">
        <f>H35/2*17.5%</f>
        <v>4.5644987042712772E-4</v>
      </c>
      <c r="I41" s="466">
        <f>H41-G41</f>
        <v>4.5644987042712772E-4</v>
      </c>
      <c r="J41" s="466">
        <f>J35/2*17.5%</f>
        <v>0</v>
      </c>
      <c r="K41" s="466">
        <f t="shared" ref="K41" si="18">K35/2*17.5%</f>
        <v>0</v>
      </c>
      <c r="L41" s="466">
        <f t="shared" si="13"/>
        <v>0</v>
      </c>
      <c r="M41" s="466">
        <f t="shared" ref="M41:P41" si="19">M35/2*17.5%</f>
        <v>0</v>
      </c>
      <c r="N41" s="466">
        <f t="shared" si="19"/>
        <v>0</v>
      </c>
      <c r="O41" s="466">
        <f t="shared" si="19"/>
        <v>0</v>
      </c>
      <c r="P41" s="466">
        <f t="shared" si="19"/>
        <v>0</v>
      </c>
      <c r="Q41" s="29"/>
    </row>
    <row r="42" spans="2:17">
      <c r="B42" s="873">
        <f t="shared" si="14"/>
        <v>9</v>
      </c>
      <c r="C42" s="288" t="s">
        <v>225</v>
      </c>
      <c r="D42" s="845">
        <f>D40+D41</f>
        <v>8.3961270491803269E-2</v>
      </c>
      <c r="E42" s="845">
        <f>E40+E41</f>
        <v>9.8749341887851699E-2</v>
      </c>
      <c r="F42" s="845">
        <f t="shared" si="11"/>
        <v>1.478807139604843E-2</v>
      </c>
      <c r="G42" s="845">
        <f>G40+G41</f>
        <v>9.5374999999999988E-2</v>
      </c>
      <c r="H42" s="845">
        <f>H40+H41</f>
        <v>8.8071547341189521E-2</v>
      </c>
      <c r="I42" s="845">
        <f t="shared" si="12"/>
        <v>-7.3034526588104665E-3</v>
      </c>
      <c r="J42" s="845">
        <f>J40+J41</f>
        <v>9.5374999999999988E-2</v>
      </c>
      <c r="K42" s="845">
        <f>K40+K41</f>
        <v>8.8527997211616638E-2</v>
      </c>
      <c r="L42" s="845">
        <f t="shared" si="13"/>
        <v>-6.8470027883833495E-3</v>
      </c>
      <c r="M42" s="845">
        <f>M40+M41</f>
        <v>9.7124999999999989E-2</v>
      </c>
      <c r="N42" s="845">
        <f>N40+N41</f>
        <v>8.8527997211616638E-2</v>
      </c>
      <c r="O42" s="845">
        <f>O40+O41</f>
        <v>9.7124999999999989E-2</v>
      </c>
      <c r="P42" s="845">
        <f>P40+P41</f>
        <v>8.8527997211616638E-2</v>
      </c>
      <c r="Q42" s="29"/>
    </row>
    <row r="44" spans="2:17">
      <c r="B44" s="27" t="s">
        <v>513</v>
      </c>
      <c r="C44" s="406" t="s">
        <v>739</v>
      </c>
    </row>
    <row r="45" spans="2:17">
      <c r="C45" s="406" t="s">
        <v>740</v>
      </c>
    </row>
    <row r="46" spans="2:17">
      <c r="C46" s="18" t="s">
        <v>747</v>
      </c>
    </row>
  </sheetData>
  <mergeCells count="16">
    <mergeCell ref="O11:P11"/>
    <mergeCell ref="Q11:Q12"/>
    <mergeCell ref="B30:B31"/>
    <mergeCell ref="C30:C31"/>
    <mergeCell ref="D30:F30"/>
    <mergeCell ref="G30:I30"/>
    <mergeCell ref="J30:L30"/>
    <mergeCell ref="M30:N30"/>
    <mergeCell ref="O30:P30"/>
    <mergeCell ref="Q30:Q31"/>
    <mergeCell ref="B11:B12"/>
    <mergeCell ref="C11:C12"/>
    <mergeCell ref="D11:F11"/>
    <mergeCell ref="G11:I11"/>
    <mergeCell ref="J11:L11"/>
    <mergeCell ref="M11:N11"/>
  </mergeCells>
  <pageMargins left="1.02" right="0.25" top="1" bottom="1" header="0.25" footer="0.25"/>
  <pageSetup paperSize="9" scale="39" fitToHeight="0" orientation="landscape" r:id="rId1"/>
  <headerFooter alignWithMargins="0">
    <oddHeader>&amp;F</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C000"/>
    <pageSetUpPr fitToPage="1"/>
  </sheetPr>
  <dimension ref="B1:S48"/>
  <sheetViews>
    <sheetView showGridLines="0" view="pageBreakPreview" topLeftCell="F22" zoomScale="70" zoomScaleNormal="60" zoomScaleSheetLayoutView="70" workbookViewId="0">
      <selection activeCell="C11" sqref="C11:C12"/>
    </sheetView>
  </sheetViews>
  <sheetFormatPr defaultColWidth="9.140625" defaultRowHeight="15"/>
  <cols>
    <col min="1" max="1" width="4.140625" style="7" customWidth="1"/>
    <col min="2" max="2" width="8.42578125" style="7" customWidth="1"/>
    <col min="3" max="3" width="61.7109375" style="7" customWidth="1"/>
    <col min="4" max="4" width="16.42578125" style="7" customWidth="1"/>
    <col min="5" max="6" width="15.7109375" style="7" customWidth="1"/>
    <col min="7" max="7" width="22.5703125" style="7" customWidth="1"/>
    <col min="8" max="12" width="15.7109375" style="7" customWidth="1"/>
    <col min="13" max="15" width="16.5703125" style="7" customWidth="1"/>
    <col min="16" max="16" width="17.7109375" style="7" customWidth="1"/>
    <col min="17" max="17" width="15.5703125" style="7" customWidth="1"/>
    <col min="18" max="18" width="17.7109375" style="7" customWidth="1"/>
    <col min="19" max="19" width="14.28515625" style="7" customWidth="1"/>
    <col min="20" max="16384" width="9.140625" style="7"/>
  </cols>
  <sheetData>
    <row r="1" spans="2:19">
      <c r="B1" s="46"/>
    </row>
    <row r="2" spans="2:19">
      <c r="C2" s="100"/>
      <c r="D2" s="100"/>
      <c r="F2" s="100"/>
      <c r="G2" s="100"/>
      <c r="H2" s="100"/>
      <c r="I2" s="742" t="s">
        <v>906</v>
      </c>
      <c r="J2" s="100"/>
      <c r="K2" s="100"/>
      <c r="L2" s="100"/>
    </row>
    <row r="3" spans="2:19">
      <c r="C3" s="54"/>
      <c r="D3" s="54"/>
      <c r="F3" s="54"/>
      <c r="G3" s="54"/>
      <c r="H3" s="54"/>
      <c r="I3" s="373" t="s">
        <v>722</v>
      </c>
      <c r="J3" s="54"/>
      <c r="K3" s="54"/>
      <c r="L3" s="54"/>
    </row>
    <row r="4" spans="2:19" s="65" customFormat="1">
      <c r="C4" s="228"/>
      <c r="D4" s="228"/>
      <c r="F4" s="228"/>
      <c r="G4" s="228"/>
      <c r="H4" s="228"/>
      <c r="I4" s="277" t="s">
        <v>505</v>
      </c>
      <c r="J4" s="228"/>
      <c r="K4" s="228"/>
      <c r="L4" s="228"/>
    </row>
    <row r="5" spans="2:19" s="65" customFormat="1">
      <c r="C5" s="228"/>
      <c r="D5" s="228"/>
      <c r="E5" s="185"/>
      <c r="F5" s="228"/>
      <c r="G5" s="228"/>
      <c r="H5" s="228"/>
      <c r="I5" s="228"/>
      <c r="J5" s="228"/>
      <c r="K5" s="228"/>
      <c r="L5" s="228"/>
    </row>
    <row r="6" spans="2:19">
      <c r="C6" s="156" t="s">
        <v>325</v>
      </c>
    </row>
    <row r="7" spans="2:19">
      <c r="C7" s="58"/>
      <c r="E7" s="52"/>
      <c r="G7" s="10"/>
      <c r="S7" s="52" t="s">
        <v>16</v>
      </c>
    </row>
    <row r="8" spans="2:19" s="389" customFormat="1" ht="12.75" customHeight="1">
      <c r="B8" s="1355" t="s">
        <v>157</v>
      </c>
      <c r="C8" s="1358" t="s">
        <v>49</v>
      </c>
      <c r="D8" s="1360" t="s">
        <v>38</v>
      </c>
      <c r="E8" s="1361"/>
      <c r="F8" s="1362"/>
      <c r="G8" s="1360" t="s">
        <v>146</v>
      </c>
      <c r="H8" s="1361"/>
      <c r="I8" s="1362"/>
      <c r="J8" s="1360" t="s">
        <v>147</v>
      </c>
      <c r="K8" s="1361"/>
      <c r="L8" s="1361"/>
      <c r="M8" s="1361"/>
      <c r="N8" s="1362"/>
      <c r="O8" s="1360" t="s">
        <v>148</v>
      </c>
      <c r="P8" s="1362"/>
      <c r="Q8" s="1363" t="s">
        <v>149</v>
      </c>
      <c r="R8" s="1363"/>
      <c r="S8" s="1363" t="s">
        <v>42</v>
      </c>
    </row>
    <row r="9" spans="2:19" s="389" customFormat="1" ht="45.6" customHeight="1">
      <c r="B9" s="1356"/>
      <c r="C9" s="1358"/>
      <c r="D9" s="409" t="s">
        <v>413</v>
      </c>
      <c r="E9" s="391" t="s">
        <v>414</v>
      </c>
      <c r="F9" s="391" t="s">
        <v>415</v>
      </c>
      <c r="G9" s="390" t="s">
        <v>413</v>
      </c>
      <c r="H9" s="391" t="s">
        <v>414</v>
      </c>
      <c r="I9" s="391" t="s">
        <v>415</v>
      </c>
      <c r="J9" s="391" t="s">
        <v>413</v>
      </c>
      <c r="K9" s="391" t="s">
        <v>416</v>
      </c>
      <c r="L9" s="391" t="s">
        <v>335</v>
      </c>
      <c r="M9" s="391" t="s">
        <v>71</v>
      </c>
      <c r="N9" s="391" t="s">
        <v>417</v>
      </c>
      <c r="O9" s="391" t="s">
        <v>413</v>
      </c>
      <c r="P9" s="391" t="s">
        <v>671</v>
      </c>
      <c r="Q9" s="391" t="s">
        <v>413</v>
      </c>
      <c r="R9" s="391" t="s">
        <v>671</v>
      </c>
      <c r="S9" s="1363"/>
    </row>
    <row r="10" spans="2:19" s="389" customFormat="1">
      <c r="B10" s="1357"/>
      <c r="C10" s="1359"/>
      <c r="D10" s="391" t="s">
        <v>72</v>
      </c>
      <c r="E10" s="391" t="s">
        <v>73</v>
      </c>
      <c r="F10" s="391" t="s">
        <v>705</v>
      </c>
      <c r="G10" s="391" t="s">
        <v>419</v>
      </c>
      <c r="H10" s="391" t="s">
        <v>420</v>
      </c>
      <c r="I10" s="391" t="s">
        <v>706</v>
      </c>
      <c r="J10" s="391" t="s">
        <v>676</v>
      </c>
      <c r="K10" s="391" t="s">
        <v>593</v>
      </c>
      <c r="L10" s="391" t="s">
        <v>677</v>
      </c>
      <c r="M10" s="391" t="s">
        <v>707</v>
      </c>
      <c r="N10" s="391" t="s">
        <v>708</v>
      </c>
      <c r="O10" s="391" t="s">
        <v>709</v>
      </c>
      <c r="P10" s="391" t="s">
        <v>596</v>
      </c>
      <c r="Q10" s="391" t="s">
        <v>710</v>
      </c>
      <c r="R10" s="391" t="s">
        <v>711</v>
      </c>
      <c r="S10" s="1364"/>
    </row>
    <row r="11" spans="2:19" s="10" customFormat="1" ht="15.75" customHeight="1">
      <c r="B11" s="78">
        <v>1</v>
      </c>
      <c r="C11" s="104" t="s">
        <v>161</v>
      </c>
      <c r="D11" s="466">
        <v>0</v>
      </c>
      <c r="E11" s="466">
        <v>0</v>
      </c>
      <c r="F11" s="466">
        <v>0</v>
      </c>
      <c r="G11" s="466">
        <v>0</v>
      </c>
      <c r="H11" s="466">
        <v>0</v>
      </c>
      <c r="I11" s="466">
        <v>0</v>
      </c>
      <c r="J11" s="466">
        <v>0</v>
      </c>
      <c r="K11" s="466">
        <v>0</v>
      </c>
      <c r="L11" s="466">
        <v>0</v>
      </c>
      <c r="M11" s="466">
        <v>0</v>
      </c>
      <c r="N11" s="466">
        <v>0</v>
      </c>
      <c r="O11" s="466">
        <v>0</v>
      </c>
      <c r="P11" s="466">
        <v>0</v>
      </c>
      <c r="Q11" s="466">
        <v>0</v>
      </c>
      <c r="R11" s="466">
        <v>0</v>
      </c>
      <c r="S11" s="466">
        <v>0</v>
      </c>
    </row>
    <row r="12" spans="2:19" s="10" customFormat="1" ht="15.75" customHeight="1">
      <c r="B12" s="78">
        <f>B11+1</f>
        <v>2</v>
      </c>
      <c r="C12" s="66" t="s">
        <v>130</v>
      </c>
      <c r="D12" s="466">
        <v>0</v>
      </c>
      <c r="E12" s="466">
        <v>0</v>
      </c>
      <c r="F12" s="466">
        <v>0</v>
      </c>
      <c r="G12" s="466">
        <v>0</v>
      </c>
      <c r="H12" s="466">
        <v>0</v>
      </c>
      <c r="I12" s="466">
        <v>0</v>
      </c>
      <c r="J12" s="466">
        <v>0</v>
      </c>
      <c r="K12" s="466">
        <v>0</v>
      </c>
      <c r="L12" s="466">
        <v>0</v>
      </c>
      <c r="M12" s="466">
        <v>0</v>
      </c>
      <c r="N12" s="466">
        <v>0</v>
      </c>
      <c r="O12" s="466">
        <v>0</v>
      </c>
      <c r="P12" s="466">
        <v>0</v>
      </c>
      <c r="Q12" s="466">
        <v>0</v>
      </c>
      <c r="R12" s="466">
        <v>0</v>
      </c>
      <c r="S12" s="466">
        <v>0</v>
      </c>
    </row>
    <row r="13" spans="2:19" s="10" customFormat="1" ht="15.75" customHeight="1">
      <c r="B13" s="78">
        <f t="shared" ref="B13:B21" si="0">B12+1</f>
        <v>3</v>
      </c>
      <c r="C13" s="67" t="s">
        <v>150</v>
      </c>
      <c r="D13" s="466">
        <v>0</v>
      </c>
      <c r="E13" s="466">
        <v>0</v>
      </c>
      <c r="F13" s="466">
        <v>0</v>
      </c>
      <c r="G13" s="466">
        <v>0</v>
      </c>
      <c r="H13" s="466">
        <v>0</v>
      </c>
      <c r="I13" s="466">
        <v>0</v>
      </c>
      <c r="J13" s="466">
        <v>0</v>
      </c>
      <c r="K13" s="466">
        <v>0</v>
      </c>
      <c r="L13" s="466">
        <v>0</v>
      </c>
      <c r="M13" s="466">
        <v>0</v>
      </c>
      <c r="N13" s="466">
        <v>0</v>
      </c>
      <c r="O13" s="466">
        <v>0</v>
      </c>
      <c r="P13" s="466">
        <v>0</v>
      </c>
      <c r="Q13" s="466">
        <v>0</v>
      </c>
      <c r="R13" s="466">
        <v>0</v>
      </c>
      <c r="S13" s="466">
        <v>0</v>
      </c>
    </row>
    <row r="14" spans="2:19" s="10" customFormat="1" ht="15.75" customHeight="1">
      <c r="B14" s="78">
        <f t="shared" si="0"/>
        <v>4</v>
      </c>
      <c r="C14" s="67" t="s">
        <v>131</v>
      </c>
      <c r="D14" s="466">
        <v>0</v>
      </c>
      <c r="E14" s="466">
        <v>0</v>
      </c>
      <c r="F14" s="466">
        <v>0</v>
      </c>
      <c r="G14" s="466">
        <v>0</v>
      </c>
      <c r="H14" s="466">
        <v>0</v>
      </c>
      <c r="I14" s="466">
        <v>0</v>
      </c>
      <c r="J14" s="466">
        <v>0</v>
      </c>
      <c r="K14" s="466">
        <v>0</v>
      </c>
      <c r="L14" s="466">
        <v>0</v>
      </c>
      <c r="M14" s="466">
        <v>0</v>
      </c>
      <c r="N14" s="466">
        <v>0</v>
      </c>
      <c r="O14" s="466">
        <v>0</v>
      </c>
      <c r="P14" s="466">
        <v>0</v>
      </c>
      <c r="Q14" s="466">
        <v>0</v>
      </c>
      <c r="R14" s="466">
        <v>0</v>
      </c>
      <c r="S14" s="466">
        <v>0</v>
      </c>
    </row>
    <row r="15" spans="2:19" s="10" customFormat="1" ht="15.75" customHeight="1">
      <c r="B15" s="78">
        <f t="shared" si="0"/>
        <v>5</v>
      </c>
      <c r="C15" s="67" t="s">
        <v>132</v>
      </c>
      <c r="D15" s="466">
        <v>0</v>
      </c>
      <c r="E15" s="466">
        <v>0</v>
      </c>
      <c r="F15" s="466">
        <v>0</v>
      </c>
      <c r="G15" s="466">
        <v>0</v>
      </c>
      <c r="H15" s="466">
        <v>0</v>
      </c>
      <c r="I15" s="466">
        <v>0</v>
      </c>
      <c r="J15" s="466">
        <v>0</v>
      </c>
      <c r="K15" s="466">
        <v>0</v>
      </c>
      <c r="L15" s="466">
        <v>0</v>
      </c>
      <c r="M15" s="466">
        <v>0</v>
      </c>
      <c r="N15" s="466">
        <v>0</v>
      </c>
      <c r="O15" s="466">
        <v>0</v>
      </c>
      <c r="P15" s="466">
        <v>0</v>
      </c>
      <c r="Q15" s="466">
        <v>0</v>
      </c>
      <c r="R15" s="466">
        <v>0</v>
      </c>
      <c r="S15" s="466">
        <v>0</v>
      </c>
    </row>
    <row r="16" spans="2:19" s="10" customFormat="1">
      <c r="B16" s="78">
        <f t="shared" si="0"/>
        <v>6</v>
      </c>
      <c r="C16" s="68" t="s">
        <v>133</v>
      </c>
      <c r="D16" s="466">
        <v>0</v>
      </c>
      <c r="E16" s="466">
        <v>0</v>
      </c>
      <c r="F16" s="466">
        <v>0</v>
      </c>
      <c r="G16" s="466">
        <v>0</v>
      </c>
      <c r="H16" s="466">
        <v>0</v>
      </c>
      <c r="I16" s="466">
        <v>0</v>
      </c>
      <c r="J16" s="466">
        <v>0</v>
      </c>
      <c r="K16" s="466">
        <v>0</v>
      </c>
      <c r="L16" s="466">
        <v>0</v>
      </c>
      <c r="M16" s="466">
        <v>0</v>
      </c>
      <c r="N16" s="466">
        <v>0</v>
      </c>
      <c r="O16" s="466">
        <v>0</v>
      </c>
      <c r="P16" s="466">
        <v>0</v>
      </c>
      <c r="Q16" s="466">
        <v>0</v>
      </c>
      <c r="R16" s="466">
        <v>0</v>
      </c>
      <c r="S16" s="466">
        <v>0</v>
      </c>
    </row>
    <row r="17" spans="2:19" s="10" customFormat="1" ht="15.75" customHeight="1">
      <c r="B17" s="78">
        <f t="shared" si="0"/>
        <v>7</v>
      </c>
      <c r="C17" s="68" t="s">
        <v>134</v>
      </c>
      <c r="D17" s="466">
        <v>0</v>
      </c>
      <c r="E17" s="466">
        <v>0</v>
      </c>
      <c r="F17" s="466">
        <v>0</v>
      </c>
      <c r="G17" s="466">
        <v>0</v>
      </c>
      <c r="H17" s="466">
        <v>0</v>
      </c>
      <c r="I17" s="466">
        <v>0</v>
      </c>
      <c r="J17" s="466">
        <v>0</v>
      </c>
      <c r="K17" s="466">
        <v>0</v>
      </c>
      <c r="L17" s="466">
        <v>0</v>
      </c>
      <c r="M17" s="466">
        <v>0</v>
      </c>
      <c r="N17" s="466">
        <v>0</v>
      </c>
      <c r="O17" s="466">
        <v>0</v>
      </c>
      <c r="P17" s="466">
        <v>0</v>
      </c>
      <c r="Q17" s="466">
        <v>0</v>
      </c>
      <c r="R17" s="466">
        <v>0</v>
      </c>
      <c r="S17" s="466">
        <v>0</v>
      </c>
    </row>
    <row r="18" spans="2:19" ht="15.75" customHeight="1">
      <c r="B18" s="78">
        <f t="shared" si="0"/>
        <v>8</v>
      </c>
      <c r="C18" s="68" t="s">
        <v>331</v>
      </c>
      <c r="D18" s="466">
        <v>0</v>
      </c>
      <c r="E18" s="466">
        <v>0</v>
      </c>
      <c r="F18" s="466">
        <v>0</v>
      </c>
      <c r="G18" s="466">
        <v>0</v>
      </c>
      <c r="H18" s="466">
        <v>0</v>
      </c>
      <c r="I18" s="466">
        <v>0</v>
      </c>
      <c r="J18" s="466">
        <v>0</v>
      </c>
      <c r="K18" s="466">
        <v>0</v>
      </c>
      <c r="L18" s="466">
        <v>0</v>
      </c>
      <c r="M18" s="466">
        <v>0</v>
      </c>
      <c r="N18" s="466">
        <v>0</v>
      </c>
      <c r="O18" s="466">
        <v>0</v>
      </c>
      <c r="P18" s="466">
        <v>0</v>
      </c>
      <c r="Q18" s="466">
        <v>0</v>
      </c>
      <c r="R18" s="466">
        <v>0</v>
      </c>
      <c r="S18" s="466">
        <v>0</v>
      </c>
    </row>
    <row r="19" spans="2:19" s="155" customFormat="1" ht="30">
      <c r="B19" s="78">
        <f t="shared" si="0"/>
        <v>9</v>
      </c>
      <c r="C19" s="104" t="s">
        <v>332</v>
      </c>
      <c r="D19" s="466">
        <v>0</v>
      </c>
      <c r="E19" s="466">
        <v>0</v>
      </c>
      <c r="F19" s="466">
        <v>0</v>
      </c>
      <c r="G19" s="466">
        <v>0</v>
      </c>
      <c r="H19" s="466">
        <v>0</v>
      </c>
      <c r="I19" s="466">
        <v>0</v>
      </c>
      <c r="J19" s="466">
        <v>0</v>
      </c>
      <c r="K19" s="466">
        <v>0</v>
      </c>
      <c r="L19" s="466">
        <v>0</v>
      </c>
      <c r="M19" s="466">
        <v>0</v>
      </c>
      <c r="N19" s="466">
        <v>0</v>
      </c>
      <c r="O19" s="466">
        <v>0</v>
      </c>
      <c r="P19" s="466">
        <v>0</v>
      </c>
      <c r="Q19" s="466">
        <v>0</v>
      </c>
      <c r="R19" s="466">
        <v>0</v>
      </c>
      <c r="S19" s="466">
        <v>0</v>
      </c>
    </row>
    <row r="20" spans="2:19" ht="15.75" customHeight="1">
      <c r="B20" s="78">
        <f t="shared" si="0"/>
        <v>10</v>
      </c>
      <c r="C20" s="68" t="s">
        <v>334</v>
      </c>
      <c r="D20" s="466">
        <v>0</v>
      </c>
      <c r="E20" s="466">
        <v>0</v>
      </c>
      <c r="F20" s="466">
        <v>0</v>
      </c>
      <c r="G20" s="466">
        <v>0</v>
      </c>
      <c r="H20" s="466">
        <v>0</v>
      </c>
      <c r="I20" s="466">
        <v>0</v>
      </c>
      <c r="J20" s="466">
        <v>0</v>
      </c>
      <c r="K20" s="466">
        <v>0</v>
      </c>
      <c r="L20" s="466">
        <v>0</v>
      </c>
      <c r="M20" s="466">
        <v>0</v>
      </c>
      <c r="N20" s="466">
        <v>0</v>
      </c>
      <c r="O20" s="466">
        <v>0</v>
      </c>
      <c r="P20" s="466">
        <v>0</v>
      </c>
      <c r="Q20" s="466">
        <v>0</v>
      </c>
      <c r="R20" s="466">
        <v>0</v>
      </c>
      <c r="S20" s="466">
        <v>0</v>
      </c>
    </row>
    <row r="21" spans="2:19" ht="15.75" customHeight="1">
      <c r="B21" s="78">
        <f t="shared" si="0"/>
        <v>11</v>
      </c>
      <c r="C21" s="67" t="s">
        <v>151</v>
      </c>
      <c r="D21" s="466">
        <v>0</v>
      </c>
      <c r="E21" s="466">
        <v>0</v>
      </c>
      <c r="F21" s="466">
        <v>0</v>
      </c>
      <c r="G21" s="466">
        <v>0</v>
      </c>
      <c r="H21" s="466">
        <v>0</v>
      </c>
      <c r="I21" s="466">
        <v>0</v>
      </c>
      <c r="J21" s="466">
        <v>0</v>
      </c>
      <c r="K21" s="466">
        <v>0</v>
      </c>
      <c r="L21" s="466">
        <v>0</v>
      </c>
      <c r="M21" s="466">
        <v>0</v>
      </c>
      <c r="N21" s="466">
        <v>0</v>
      </c>
      <c r="O21" s="466">
        <v>0</v>
      </c>
      <c r="P21" s="466">
        <v>0</v>
      </c>
      <c r="Q21" s="466">
        <v>0</v>
      </c>
      <c r="R21" s="466">
        <v>0</v>
      </c>
      <c r="S21" s="466">
        <v>0</v>
      </c>
    </row>
    <row r="22" spans="2:19" s="1" customFormat="1">
      <c r="B22" s="78"/>
      <c r="C22" s="63" t="s">
        <v>115</v>
      </c>
      <c r="D22" s="468">
        <v>0</v>
      </c>
      <c r="E22" s="468">
        <v>0</v>
      </c>
      <c r="F22" s="468">
        <v>0</v>
      </c>
      <c r="G22" s="468">
        <v>0</v>
      </c>
      <c r="H22" s="468">
        <v>0</v>
      </c>
      <c r="I22" s="468">
        <v>0</v>
      </c>
      <c r="J22" s="468">
        <v>0</v>
      </c>
      <c r="K22" s="468">
        <v>0</v>
      </c>
      <c r="L22" s="468">
        <v>0</v>
      </c>
      <c r="M22" s="468">
        <v>0</v>
      </c>
      <c r="N22" s="468">
        <v>0</v>
      </c>
      <c r="O22" s="468">
        <v>0</v>
      </c>
      <c r="P22" s="468">
        <v>0</v>
      </c>
      <c r="Q22" s="468">
        <v>0</v>
      </c>
      <c r="R22" s="468">
        <v>0</v>
      </c>
      <c r="S22" s="468">
        <v>0</v>
      </c>
    </row>
    <row r="23" spans="2:19" s="1" customFormat="1">
      <c r="B23" s="155"/>
      <c r="C23" s="39"/>
    </row>
    <row r="24" spans="2:19" s="1" customFormat="1">
      <c r="B24" s="10" t="s">
        <v>374</v>
      </c>
      <c r="C24" s="18" t="s">
        <v>747</v>
      </c>
    </row>
    <row r="25" spans="2:19" s="1" customFormat="1">
      <c r="B25" s="10"/>
      <c r="C25" s="18"/>
    </row>
    <row r="26" spans="2:19">
      <c r="C26" s="156" t="s">
        <v>258</v>
      </c>
    </row>
    <row r="27" spans="2:19" s="155" customFormat="1">
      <c r="C27" s="58"/>
      <c r="E27" s="52"/>
      <c r="G27" s="10"/>
      <c r="S27" s="52" t="s">
        <v>16</v>
      </c>
    </row>
    <row r="28" spans="2:19" s="389" customFormat="1" ht="12.75" customHeight="1">
      <c r="B28" s="1355" t="s">
        <v>157</v>
      </c>
      <c r="C28" s="1358" t="s">
        <v>49</v>
      </c>
      <c r="D28" s="1360" t="s">
        <v>38</v>
      </c>
      <c r="E28" s="1361"/>
      <c r="F28" s="1362"/>
      <c r="G28" s="1360" t="s">
        <v>146</v>
      </c>
      <c r="H28" s="1361"/>
      <c r="I28" s="1362"/>
      <c r="J28" s="1360" t="s">
        <v>147</v>
      </c>
      <c r="K28" s="1361"/>
      <c r="L28" s="1361"/>
      <c r="M28" s="1361"/>
      <c r="N28" s="1362"/>
      <c r="O28" s="1360" t="s">
        <v>148</v>
      </c>
      <c r="P28" s="1362"/>
      <c r="Q28" s="1363" t="s">
        <v>149</v>
      </c>
      <c r="R28" s="1363"/>
      <c r="S28" s="1363" t="s">
        <v>42</v>
      </c>
    </row>
    <row r="29" spans="2:19" s="389" customFormat="1" ht="45.6" customHeight="1">
      <c r="B29" s="1356"/>
      <c r="C29" s="1358"/>
      <c r="D29" s="409" t="s">
        <v>413</v>
      </c>
      <c r="E29" s="391" t="s">
        <v>414</v>
      </c>
      <c r="F29" s="391" t="s">
        <v>415</v>
      </c>
      <c r="G29" s="390" t="s">
        <v>413</v>
      </c>
      <c r="H29" s="391" t="s">
        <v>414</v>
      </c>
      <c r="I29" s="391" t="s">
        <v>415</v>
      </c>
      <c r="J29" s="391" t="s">
        <v>413</v>
      </c>
      <c r="K29" s="391" t="s">
        <v>416</v>
      </c>
      <c r="L29" s="391" t="s">
        <v>335</v>
      </c>
      <c r="M29" s="391" t="s">
        <v>71</v>
      </c>
      <c r="N29" s="391" t="s">
        <v>417</v>
      </c>
      <c r="O29" s="391" t="s">
        <v>413</v>
      </c>
      <c r="P29" s="391" t="s">
        <v>671</v>
      </c>
      <c r="Q29" s="391" t="s">
        <v>413</v>
      </c>
      <c r="R29" s="391" t="s">
        <v>671</v>
      </c>
      <c r="S29" s="1363"/>
    </row>
    <row r="30" spans="2:19" s="389" customFormat="1">
      <c r="B30" s="1357"/>
      <c r="C30" s="1359"/>
      <c r="D30" s="391" t="s">
        <v>72</v>
      </c>
      <c r="E30" s="391" t="s">
        <v>73</v>
      </c>
      <c r="F30" s="391" t="s">
        <v>705</v>
      </c>
      <c r="G30" s="391" t="s">
        <v>419</v>
      </c>
      <c r="H30" s="391" t="s">
        <v>420</v>
      </c>
      <c r="I30" s="391" t="s">
        <v>706</v>
      </c>
      <c r="J30" s="391" t="s">
        <v>676</v>
      </c>
      <c r="K30" s="391" t="s">
        <v>593</v>
      </c>
      <c r="L30" s="391" t="s">
        <v>677</v>
      </c>
      <c r="M30" s="391" t="s">
        <v>707</v>
      </c>
      <c r="N30" s="391" t="s">
        <v>708</v>
      </c>
      <c r="O30" s="391" t="s">
        <v>709</v>
      </c>
      <c r="P30" s="391" t="s">
        <v>596</v>
      </c>
      <c r="Q30" s="391" t="s">
        <v>710</v>
      </c>
      <c r="R30" s="391" t="s">
        <v>711</v>
      </c>
      <c r="S30" s="1364"/>
    </row>
    <row r="31" spans="2:19">
      <c r="B31" s="78">
        <v>1</v>
      </c>
      <c r="C31" s="104" t="s">
        <v>161</v>
      </c>
      <c r="D31" s="29"/>
      <c r="E31" s="29"/>
      <c r="F31" s="558">
        <f t="shared" ref="F31:F44" si="1">+E31-D31</f>
        <v>0</v>
      </c>
      <c r="G31" s="29"/>
      <c r="H31" s="29"/>
      <c r="I31" s="29"/>
      <c r="J31" s="29"/>
      <c r="K31" s="466">
        <v>0</v>
      </c>
      <c r="L31" s="466">
        <v>0</v>
      </c>
      <c r="M31" s="466">
        <f>+K31+L31</f>
        <v>0</v>
      </c>
      <c r="N31" s="29"/>
      <c r="O31" s="29"/>
      <c r="P31" s="444">
        <f>+M31</f>
        <v>0</v>
      </c>
      <c r="Q31" s="14"/>
      <c r="R31" s="444">
        <f>+O31</f>
        <v>0</v>
      </c>
      <c r="S31" s="14"/>
    </row>
    <row r="32" spans="2:19">
      <c r="B32" s="78">
        <f>B31+1</f>
        <v>2</v>
      </c>
      <c r="C32" s="66" t="s">
        <v>130</v>
      </c>
      <c r="D32" s="29"/>
      <c r="E32" s="29"/>
      <c r="F32" s="558">
        <f t="shared" si="1"/>
        <v>0</v>
      </c>
      <c r="G32" s="29"/>
      <c r="H32" s="29"/>
      <c r="I32" s="29"/>
      <c r="J32" s="29"/>
      <c r="K32" s="466">
        <v>0</v>
      </c>
      <c r="L32" s="466">
        <v>0</v>
      </c>
      <c r="M32" s="466">
        <f t="shared" ref="M32:M44" si="2">+K32+L32</f>
        <v>0</v>
      </c>
      <c r="N32" s="29"/>
      <c r="O32" s="29"/>
      <c r="P32" s="444">
        <f t="shared" ref="P32:R45" si="3">+M32</f>
        <v>0</v>
      </c>
      <c r="Q32" s="14"/>
      <c r="R32" s="444">
        <f t="shared" si="3"/>
        <v>0</v>
      </c>
      <c r="S32" s="14"/>
    </row>
    <row r="33" spans="2:19">
      <c r="B33" s="78">
        <f t="shared" ref="B33:B45" si="4">B32+1</f>
        <v>3</v>
      </c>
      <c r="C33" s="67" t="s">
        <v>150</v>
      </c>
      <c r="D33" s="29"/>
      <c r="E33" s="29"/>
      <c r="F33" s="558">
        <f t="shared" si="1"/>
        <v>0</v>
      </c>
      <c r="G33" s="29"/>
      <c r="H33" s="29"/>
      <c r="I33" s="29"/>
      <c r="J33" s="29"/>
      <c r="K33" s="466">
        <v>0</v>
      </c>
      <c r="L33" s="466">
        <v>0</v>
      </c>
      <c r="M33" s="466">
        <f t="shared" si="2"/>
        <v>0</v>
      </c>
      <c r="N33" s="29"/>
      <c r="O33" s="29"/>
      <c r="P33" s="444">
        <f t="shared" si="3"/>
        <v>0</v>
      </c>
      <c r="Q33" s="14"/>
      <c r="R33" s="444">
        <f t="shared" si="3"/>
        <v>0</v>
      </c>
      <c r="S33" s="14"/>
    </row>
    <row r="34" spans="2:19">
      <c r="B34" s="78">
        <f t="shared" si="4"/>
        <v>4</v>
      </c>
      <c r="C34" s="67" t="s">
        <v>131</v>
      </c>
      <c r="D34" s="29"/>
      <c r="E34" s="29"/>
      <c r="F34" s="558">
        <f t="shared" si="1"/>
        <v>0</v>
      </c>
      <c r="G34" s="29"/>
      <c r="H34" s="29"/>
      <c r="I34" s="29"/>
      <c r="J34" s="29"/>
      <c r="K34" s="466">
        <v>0</v>
      </c>
      <c r="L34" s="466">
        <v>0</v>
      </c>
      <c r="M34" s="466">
        <f t="shared" si="2"/>
        <v>0</v>
      </c>
      <c r="N34" s="29"/>
      <c r="O34" s="29"/>
      <c r="P34" s="444">
        <f t="shared" si="3"/>
        <v>0</v>
      </c>
      <c r="Q34" s="14"/>
      <c r="R34" s="444">
        <f t="shared" si="3"/>
        <v>0</v>
      </c>
      <c r="S34" s="14"/>
    </row>
    <row r="35" spans="2:19">
      <c r="B35" s="78">
        <f t="shared" si="4"/>
        <v>5</v>
      </c>
      <c r="C35" s="67" t="s">
        <v>132</v>
      </c>
      <c r="D35" s="29"/>
      <c r="E35" s="29"/>
      <c r="F35" s="558">
        <f t="shared" si="1"/>
        <v>0</v>
      </c>
      <c r="G35" s="29"/>
      <c r="H35" s="29"/>
      <c r="I35" s="29"/>
      <c r="J35" s="29"/>
      <c r="K35" s="466">
        <v>0</v>
      </c>
      <c r="L35" s="466">
        <v>0</v>
      </c>
      <c r="M35" s="466">
        <f t="shared" si="2"/>
        <v>0</v>
      </c>
      <c r="N35" s="29"/>
      <c r="O35" s="29"/>
      <c r="P35" s="444">
        <f t="shared" si="3"/>
        <v>0</v>
      </c>
      <c r="Q35" s="14"/>
      <c r="R35" s="444">
        <f t="shared" si="3"/>
        <v>0</v>
      </c>
      <c r="S35" s="14"/>
    </row>
    <row r="36" spans="2:19">
      <c r="B36" s="78">
        <f t="shared" si="4"/>
        <v>6</v>
      </c>
      <c r="C36" s="68" t="s">
        <v>133</v>
      </c>
      <c r="D36" s="29"/>
      <c r="E36" s="29"/>
      <c r="F36" s="558">
        <f t="shared" si="1"/>
        <v>0</v>
      </c>
      <c r="G36" s="29"/>
      <c r="H36" s="29"/>
      <c r="I36" s="29"/>
      <c r="J36" s="29"/>
      <c r="K36" s="466">
        <v>0</v>
      </c>
      <c r="L36" s="466">
        <v>0</v>
      </c>
      <c r="M36" s="466">
        <f t="shared" si="2"/>
        <v>0</v>
      </c>
      <c r="N36" s="29"/>
      <c r="O36" s="29"/>
      <c r="P36" s="444">
        <f t="shared" si="3"/>
        <v>0</v>
      </c>
      <c r="Q36" s="14"/>
      <c r="R36" s="444">
        <f t="shared" si="3"/>
        <v>0</v>
      </c>
      <c r="S36" s="14"/>
    </row>
    <row r="37" spans="2:19">
      <c r="B37" s="78">
        <f t="shared" si="4"/>
        <v>7</v>
      </c>
      <c r="C37" s="68" t="s">
        <v>134</v>
      </c>
      <c r="D37" s="29"/>
      <c r="E37" s="29"/>
      <c r="F37" s="558">
        <f t="shared" si="1"/>
        <v>0</v>
      </c>
      <c r="G37" s="29"/>
      <c r="H37" s="29"/>
      <c r="I37" s="29"/>
      <c r="J37" s="29"/>
      <c r="K37" s="466">
        <v>0</v>
      </c>
      <c r="L37" s="466">
        <v>0</v>
      </c>
      <c r="M37" s="466">
        <f t="shared" si="2"/>
        <v>0</v>
      </c>
      <c r="N37" s="29"/>
      <c r="O37" s="29"/>
      <c r="P37" s="444">
        <f t="shared" si="3"/>
        <v>0</v>
      </c>
      <c r="Q37" s="14"/>
      <c r="R37" s="444">
        <f t="shared" si="3"/>
        <v>0</v>
      </c>
      <c r="S37" s="14"/>
    </row>
    <row r="38" spans="2:19">
      <c r="B38" s="78">
        <f t="shared" si="4"/>
        <v>8</v>
      </c>
      <c r="C38" s="68" t="s">
        <v>331</v>
      </c>
      <c r="D38" s="29"/>
      <c r="E38" s="29"/>
      <c r="F38" s="558">
        <f t="shared" si="1"/>
        <v>0</v>
      </c>
      <c r="G38" s="29"/>
      <c r="H38" s="29"/>
      <c r="I38" s="29"/>
      <c r="J38" s="29"/>
      <c r="K38" s="466">
        <v>0</v>
      </c>
      <c r="L38" s="466">
        <v>0</v>
      </c>
      <c r="M38" s="466">
        <f t="shared" si="2"/>
        <v>0</v>
      </c>
      <c r="N38" s="29"/>
      <c r="O38" s="29"/>
      <c r="P38" s="444">
        <f t="shared" si="3"/>
        <v>0</v>
      </c>
      <c r="Q38" s="14"/>
      <c r="R38" s="444">
        <f t="shared" si="3"/>
        <v>0</v>
      </c>
      <c r="S38" s="14"/>
    </row>
    <row r="39" spans="2:19" ht="30">
      <c r="B39" s="78">
        <f t="shared" si="4"/>
        <v>9</v>
      </c>
      <c r="C39" s="104" t="s">
        <v>332</v>
      </c>
      <c r="D39" s="29"/>
      <c r="E39" s="560">
        <f>2929787/10^7</f>
        <v>0.29297869999999998</v>
      </c>
      <c r="F39" s="559">
        <f t="shared" si="1"/>
        <v>0.29297869999999998</v>
      </c>
      <c r="G39" s="105"/>
      <c r="H39" s="560">
        <f>491642/10^7</f>
        <v>4.9164199999999998E-2</v>
      </c>
      <c r="I39" s="105"/>
      <c r="J39" s="105"/>
      <c r="K39" s="560">
        <v>0</v>
      </c>
      <c r="L39" s="560">
        <f>+H39</f>
        <v>4.9164199999999998E-2</v>
      </c>
      <c r="M39" s="560">
        <f t="shared" si="2"/>
        <v>4.9164199999999998E-2</v>
      </c>
      <c r="N39" s="105"/>
      <c r="O39" s="105"/>
      <c r="P39" s="699">
        <f t="shared" si="3"/>
        <v>4.9164199999999998E-2</v>
      </c>
      <c r="Q39" s="4"/>
      <c r="R39" s="699">
        <f>+P39</f>
        <v>4.9164199999999998E-2</v>
      </c>
      <c r="S39" s="4"/>
    </row>
    <row r="40" spans="2:19">
      <c r="B40" s="78">
        <f t="shared" si="4"/>
        <v>10</v>
      </c>
      <c r="C40" s="104" t="s">
        <v>333</v>
      </c>
      <c r="D40" s="29"/>
      <c r="E40" s="105"/>
      <c r="F40" s="559">
        <f t="shared" si="1"/>
        <v>0</v>
      </c>
      <c r="G40" s="105"/>
      <c r="H40" s="105"/>
      <c r="I40" s="105"/>
      <c r="J40" s="105"/>
      <c r="K40" s="560">
        <v>0</v>
      </c>
      <c r="L40" s="560">
        <v>0</v>
      </c>
      <c r="M40" s="560">
        <f t="shared" si="2"/>
        <v>0</v>
      </c>
      <c r="N40" s="105"/>
      <c r="O40" s="105"/>
      <c r="P40" s="699">
        <f t="shared" si="3"/>
        <v>0</v>
      </c>
      <c r="Q40" s="4"/>
      <c r="R40" s="699">
        <f t="shared" ref="R40:R44" si="5">+P40</f>
        <v>0</v>
      </c>
      <c r="S40" s="4"/>
    </row>
    <row r="41" spans="2:19" s="155" customFormat="1">
      <c r="B41" s="78">
        <f t="shared" si="4"/>
        <v>11</v>
      </c>
      <c r="C41" s="68" t="s">
        <v>334</v>
      </c>
      <c r="D41" s="29"/>
      <c r="E41" s="105"/>
      <c r="F41" s="559">
        <f t="shared" si="1"/>
        <v>0</v>
      </c>
      <c r="G41" s="105"/>
      <c r="H41" s="105"/>
      <c r="I41" s="105"/>
      <c r="J41" s="105"/>
      <c r="K41" s="560">
        <v>0</v>
      </c>
      <c r="L41" s="560">
        <v>0</v>
      </c>
      <c r="M41" s="560">
        <f t="shared" si="2"/>
        <v>0</v>
      </c>
      <c r="N41" s="105"/>
      <c r="O41" s="105"/>
      <c r="P41" s="699">
        <f t="shared" si="3"/>
        <v>0</v>
      </c>
      <c r="Q41" s="4"/>
      <c r="R41" s="699">
        <f t="shared" si="5"/>
        <v>0</v>
      </c>
      <c r="S41" s="4"/>
    </row>
    <row r="42" spans="2:19" s="155" customFormat="1">
      <c r="B42" s="78">
        <f t="shared" si="4"/>
        <v>12</v>
      </c>
      <c r="C42" s="67" t="s">
        <v>151</v>
      </c>
      <c r="D42" s="29"/>
      <c r="E42" s="105"/>
      <c r="F42" s="559">
        <f t="shared" si="1"/>
        <v>0</v>
      </c>
      <c r="G42" s="105"/>
      <c r="H42" s="105"/>
      <c r="I42" s="105"/>
      <c r="J42" s="105"/>
      <c r="K42" s="560">
        <v>0</v>
      </c>
      <c r="L42" s="560">
        <f>+H42</f>
        <v>0</v>
      </c>
      <c r="M42" s="560">
        <f t="shared" si="2"/>
        <v>0</v>
      </c>
      <c r="N42" s="105"/>
      <c r="O42" s="105"/>
      <c r="P42" s="699">
        <f t="shared" si="3"/>
        <v>0</v>
      </c>
      <c r="Q42" s="4"/>
      <c r="R42" s="699">
        <f t="shared" si="5"/>
        <v>0</v>
      </c>
      <c r="S42" s="4"/>
    </row>
    <row r="43" spans="2:19">
      <c r="B43" s="78">
        <f t="shared" si="4"/>
        <v>13</v>
      </c>
      <c r="C43" s="68" t="s">
        <v>958</v>
      </c>
      <c r="D43" s="29"/>
      <c r="E43" s="560">
        <f>32313/10^7</f>
        <v>3.2312999999999999E-3</v>
      </c>
      <c r="F43" s="559">
        <f t="shared" si="1"/>
        <v>3.2312999999999999E-3</v>
      </c>
      <c r="G43" s="105"/>
      <c r="H43" s="1177">
        <f>14960/10^7</f>
        <v>1.4959999999999999E-3</v>
      </c>
      <c r="I43" s="105"/>
      <c r="J43" s="105"/>
      <c r="K43" s="560">
        <v>0</v>
      </c>
      <c r="L43" s="560">
        <f>+H43</f>
        <v>1.4959999999999999E-3</v>
      </c>
      <c r="M43" s="560">
        <f t="shared" si="2"/>
        <v>1.4959999999999999E-3</v>
      </c>
      <c r="N43" s="105"/>
      <c r="O43" s="105"/>
      <c r="P43" s="699">
        <f t="shared" si="3"/>
        <v>1.4959999999999999E-3</v>
      </c>
      <c r="Q43" s="4"/>
      <c r="R43" s="699">
        <f t="shared" si="5"/>
        <v>1.4959999999999999E-3</v>
      </c>
      <c r="S43" s="4"/>
    </row>
    <row r="44" spans="2:19">
      <c r="B44" s="78">
        <f t="shared" si="4"/>
        <v>14</v>
      </c>
      <c r="C44" s="68" t="s">
        <v>1101</v>
      </c>
      <c r="D44" s="29"/>
      <c r="E44" s="1177"/>
      <c r="F44" s="1178">
        <f t="shared" si="1"/>
        <v>0</v>
      </c>
      <c r="G44" s="105"/>
      <c r="H44" s="105"/>
      <c r="I44" s="105"/>
      <c r="J44" s="105"/>
      <c r="K44" s="560">
        <f>3638/10^7</f>
        <v>3.6380000000000001E-4</v>
      </c>
      <c r="L44" s="560">
        <v>0</v>
      </c>
      <c r="M44" s="560">
        <f t="shared" si="2"/>
        <v>3.6380000000000001E-4</v>
      </c>
      <c r="N44" s="105"/>
      <c r="O44" s="105"/>
      <c r="P44" s="699">
        <f t="shared" si="3"/>
        <v>3.6380000000000001E-4</v>
      </c>
      <c r="Q44" s="4"/>
      <c r="R44" s="699">
        <f t="shared" si="5"/>
        <v>3.6380000000000001E-4</v>
      </c>
      <c r="S44" s="4"/>
    </row>
    <row r="45" spans="2:19" s="155" customFormat="1">
      <c r="B45" s="78">
        <f t="shared" si="4"/>
        <v>15</v>
      </c>
      <c r="C45" s="68" t="s">
        <v>1116</v>
      </c>
      <c r="D45" s="29"/>
      <c r="E45" s="1177"/>
      <c r="F45" s="1178"/>
      <c r="G45" s="105"/>
      <c r="H45" s="550">
        <f>2463000/10^7</f>
        <v>0.24629999999999999</v>
      </c>
      <c r="I45" s="105"/>
      <c r="J45" s="105"/>
      <c r="K45" s="560">
        <v>0</v>
      </c>
      <c r="L45" s="560">
        <v>0</v>
      </c>
      <c r="M45" s="560">
        <f>+K45+L45</f>
        <v>0</v>
      </c>
      <c r="N45" s="105"/>
      <c r="O45" s="105"/>
      <c r="P45" s="699">
        <f t="shared" si="3"/>
        <v>0</v>
      </c>
      <c r="Q45" s="4"/>
      <c r="R45" s="699">
        <f t="shared" si="3"/>
        <v>0</v>
      </c>
      <c r="S45" s="4"/>
    </row>
    <row r="46" spans="2:19">
      <c r="B46" s="78">
        <f>B44+1</f>
        <v>15</v>
      </c>
      <c r="C46" s="63" t="s">
        <v>115</v>
      </c>
      <c r="D46" s="32">
        <v>0.02</v>
      </c>
      <c r="E46" s="468">
        <f>SUM(E31:E45)</f>
        <v>0.29620999999999997</v>
      </c>
      <c r="F46" s="468">
        <f>SUM(F31:F45)</f>
        <v>0.29620999999999997</v>
      </c>
      <c r="G46" s="32">
        <v>0.01</v>
      </c>
      <c r="H46" s="468">
        <f>SUM(H31:H45)</f>
        <v>0.29696020000000001</v>
      </c>
      <c r="I46" s="468">
        <f>SUM(I31:I45)</f>
        <v>0</v>
      </c>
      <c r="J46" s="32">
        <v>0.01</v>
      </c>
      <c r="K46" s="468">
        <f>SUM(K31:K45)</f>
        <v>3.6380000000000001E-4</v>
      </c>
      <c r="L46" s="468">
        <f t="shared" ref="L46:R46" si="6">SUM(L31:L45)</f>
        <v>5.0660199999999996E-2</v>
      </c>
      <c r="M46" s="468">
        <f t="shared" si="6"/>
        <v>5.1023999999999993E-2</v>
      </c>
      <c r="N46" s="468">
        <f t="shared" si="6"/>
        <v>0</v>
      </c>
      <c r="O46" s="41">
        <v>0.01</v>
      </c>
      <c r="P46" s="468">
        <f t="shared" si="6"/>
        <v>5.1023999999999993E-2</v>
      </c>
      <c r="Q46" s="41">
        <v>0.01</v>
      </c>
      <c r="R46" s="468">
        <f t="shared" si="6"/>
        <v>5.1023999999999993E-2</v>
      </c>
      <c r="S46" s="14"/>
    </row>
    <row r="47" spans="2:19">
      <c r="B47" s="18"/>
    </row>
    <row r="48" spans="2:19">
      <c r="B48" s="10" t="s">
        <v>374</v>
      </c>
      <c r="C48" s="18" t="s">
        <v>747</v>
      </c>
    </row>
  </sheetData>
  <mergeCells count="16">
    <mergeCell ref="Q8:R8"/>
    <mergeCell ref="S8:S10"/>
    <mergeCell ref="B28:B30"/>
    <mergeCell ref="C28:C30"/>
    <mergeCell ref="D28:F28"/>
    <mergeCell ref="G28:I28"/>
    <mergeCell ref="J28:N28"/>
    <mergeCell ref="O28:P28"/>
    <mergeCell ref="Q28:R28"/>
    <mergeCell ref="S28:S30"/>
    <mergeCell ref="B8:B10"/>
    <mergeCell ref="C8:C10"/>
    <mergeCell ref="D8:F8"/>
    <mergeCell ref="G8:I8"/>
    <mergeCell ref="J8:N8"/>
    <mergeCell ref="O8:P8"/>
  </mergeCells>
  <pageMargins left="0.38" right="0.55000000000000004" top="0.66" bottom="0.66" header="0.5" footer="0.5"/>
  <pageSetup paperSize="9" scale="41"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B2:T121"/>
  <sheetViews>
    <sheetView showGridLines="0" tabSelected="1" view="pageBreakPreview" topLeftCell="B1" zoomScale="95" zoomScaleNormal="60" zoomScaleSheetLayoutView="95" workbookViewId="0">
      <selection activeCell="F16" sqref="F16"/>
    </sheetView>
  </sheetViews>
  <sheetFormatPr defaultColWidth="9.140625" defaultRowHeight="15"/>
  <cols>
    <col min="1" max="1" width="6.85546875" style="18" customWidth="1"/>
    <col min="2" max="2" width="8" style="18" customWidth="1"/>
    <col min="3" max="3" width="72.28515625" style="72" customWidth="1"/>
    <col min="4" max="4" width="17.85546875" style="18" customWidth="1"/>
    <col min="5" max="5" width="18.28515625" style="18" customWidth="1"/>
    <col min="6" max="14" width="17.28515625" style="18" customWidth="1"/>
    <col min="15" max="15" width="21.85546875" style="18" customWidth="1"/>
    <col min="16" max="18" width="17.28515625" style="18" customWidth="1"/>
    <col min="19" max="19" width="16.42578125" style="18" customWidth="1"/>
    <col min="20" max="20" width="16.7109375" style="18" customWidth="1"/>
    <col min="21" max="16384" width="9.140625" style="18"/>
  </cols>
  <sheetData>
    <row r="2" spans="2:20">
      <c r="C2" s="281"/>
      <c r="D2" s="87"/>
      <c r="E2" s="87"/>
      <c r="G2" s="87"/>
      <c r="H2" s="87"/>
      <c r="I2" s="87"/>
      <c r="J2" s="87"/>
      <c r="K2" s="375" t="s">
        <v>906</v>
      </c>
      <c r="L2" s="87"/>
      <c r="M2" s="87"/>
      <c r="N2" s="87"/>
      <c r="O2" s="87"/>
    </row>
    <row r="3" spans="2:20" s="155" customFormat="1">
      <c r="C3" s="281"/>
      <c r="D3" s="87"/>
      <c r="E3" s="87"/>
      <c r="G3" s="87"/>
      <c r="H3" s="87"/>
      <c r="I3" s="87"/>
      <c r="J3" s="87"/>
      <c r="K3" s="373" t="s">
        <v>719</v>
      </c>
      <c r="L3" s="87"/>
      <c r="M3" s="87"/>
      <c r="N3" s="87"/>
      <c r="O3" s="87"/>
    </row>
    <row r="4" spans="2:20" s="155" customFormat="1">
      <c r="C4" s="281"/>
      <c r="D4" s="87"/>
      <c r="E4" s="87"/>
      <c r="G4" s="87"/>
      <c r="H4" s="87"/>
      <c r="I4" s="87"/>
      <c r="J4" s="87"/>
      <c r="K4" s="277" t="s">
        <v>57</v>
      </c>
      <c r="L4" s="87"/>
      <c r="M4" s="87"/>
      <c r="N4" s="87"/>
      <c r="O4" s="87"/>
    </row>
    <row r="7" spans="2:20">
      <c r="C7" s="282"/>
    </row>
    <row r="8" spans="2:20">
      <c r="C8" s="283" t="s">
        <v>256</v>
      </c>
    </row>
    <row r="9" spans="2:20">
      <c r="C9" s="282"/>
      <c r="T9" s="26" t="s">
        <v>16</v>
      </c>
    </row>
    <row r="10" spans="2:20" s="389" customFormat="1">
      <c r="B10" s="1355" t="s">
        <v>157</v>
      </c>
      <c r="C10" s="1358" t="s">
        <v>49</v>
      </c>
      <c r="D10" s="1358" t="s">
        <v>10</v>
      </c>
      <c r="E10" s="1360" t="s">
        <v>670</v>
      </c>
      <c r="F10" s="1361"/>
      <c r="G10" s="1362"/>
      <c r="H10" s="1360" t="s">
        <v>146</v>
      </c>
      <c r="I10" s="1361"/>
      <c r="J10" s="1362"/>
      <c r="K10" s="1360" t="s">
        <v>147</v>
      </c>
      <c r="L10" s="1361"/>
      <c r="M10" s="1361"/>
      <c r="N10" s="1361"/>
      <c r="O10" s="1362"/>
      <c r="P10" s="1360" t="s">
        <v>148</v>
      </c>
      <c r="Q10" s="1362"/>
      <c r="R10" s="1363" t="s">
        <v>149</v>
      </c>
      <c r="S10" s="1363"/>
      <c r="T10" s="1363" t="s">
        <v>42</v>
      </c>
    </row>
    <row r="11" spans="2:20" s="389" customFormat="1" ht="34.5" customHeight="1">
      <c r="B11" s="1356"/>
      <c r="C11" s="1358"/>
      <c r="D11" s="1358"/>
      <c r="E11" s="390" t="s">
        <v>413</v>
      </c>
      <c r="F11" s="391" t="s">
        <v>414</v>
      </c>
      <c r="G11" s="391" t="s">
        <v>415</v>
      </c>
      <c r="H11" s="390" t="s">
        <v>413</v>
      </c>
      <c r="I11" s="391" t="s">
        <v>414</v>
      </c>
      <c r="J11" s="391" t="s">
        <v>415</v>
      </c>
      <c r="K11" s="391" t="s">
        <v>413</v>
      </c>
      <c r="L11" s="391" t="s">
        <v>416</v>
      </c>
      <c r="M11" s="391" t="s">
        <v>1314</v>
      </c>
      <c r="N11" s="391" t="s">
        <v>1315</v>
      </c>
      <c r="O11" s="391" t="s">
        <v>417</v>
      </c>
      <c r="P11" s="391" t="s">
        <v>413</v>
      </c>
      <c r="Q11" s="391" t="s">
        <v>671</v>
      </c>
      <c r="R11" s="391" t="s">
        <v>413</v>
      </c>
      <c r="S11" s="391" t="s">
        <v>671</v>
      </c>
      <c r="T11" s="1363"/>
    </row>
    <row r="12" spans="2:20" s="389" customFormat="1">
      <c r="B12" s="1357"/>
      <c r="C12" s="1359"/>
      <c r="D12" s="1359"/>
      <c r="E12" s="391" t="s">
        <v>72</v>
      </c>
      <c r="F12" s="391" t="s">
        <v>73</v>
      </c>
      <c r="G12" s="391" t="s">
        <v>705</v>
      </c>
      <c r="H12" s="391" t="s">
        <v>419</v>
      </c>
      <c r="I12" s="391" t="s">
        <v>420</v>
      </c>
      <c r="J12" s="391" t="s">
        <v>706</v>
      </c>
      <c r="K12" s="391" t="s">
        <v>676</v>
      </c>
      <c r="L12" s="391" t="s">
        <v>593</v>
      </c>
      <c r="M12" s="391" t="s">
        <v>677</v>
      </c>
      <c r="N12" s="391" t="s">
        <v>707</v>
      </c>
      <c r="O12" s="391" t="s">
        <v>708</v>
      </c>
      <c r="P12" s="391" t="s">
        <v>709</v>
      </c>
      <c r="Q12" s="391" t="s">
        <v>596</v>
      </c>
      <c r="R12" s="391" t="s">
        <v>710</v>
      </c>
      <c r="S12" s="391" t="s">
        <v>711</v>
      </c>
      <c r="T12" s="1364"/>
    </row>
    <row r="13" spans="2:20">
      <c r="B13" s="92">
        <v>1</v>
      </c>
      <c r="C13" s="284" t="s">
        <v>74</v>
      </c>
      <c r="D13" s="126" t="s">
        <v>55</v>
      </c>
      <c r="E13" s="828">
        <f>+'F3'!E16</f>
        <v>2.0682266981114754</v>
      </c>
      <c r="F13" s="828">
        <f>+'F3'!F16</f>
        <v>3.2069778650000003</v>
      </c>
      <c r="G13" s="828">
        <f>F13-E13</f>
        <v>1.1387511668885248</v>
      </c>
      <c r="H13" s="828">
        <f>+'F3'!H16</f>
        <v>2.1800000000000002</v>
      </c>
      <c r="I13" s="828">
        <f>+'F3'!I16</f>
        <v>3.3717769149999999</v>
      </c>
      <c r="J13" s="828">
        <f>+I13-H13</f>
        <v>1.1917769149999997</v>
      </c>
      <c r="K13" s="828">
        <f>+'F3'!K16</f>
        <v>2.2400000000000002</v>
      </c>
      <c r="L13" s="828">
        <f>+'F3'!L16</f>
        <v>1.1915468499999999</v>
      </c>
      <c r="M13" s="828">
        <f>+'F3'!M16</f>
        <v>2.3558677422109442</v>
      </c>
      <c r="N13" s="828">
        <f>+'F3'!N16</f>
        <v>3.5474145922109446</v>
      </c>
      <c r="O13" s="828">
        <f>+N13-K13</f>
        <v>1.3074145922109444</v>
      </c>
      <c r="P13" s="828">
        <f>+'F3'!P16</f>
        <v>2.31</v>
      </c>
      <c r="Q13" s="828">
        <f>+'F3'!Q16</f>
        <v>3.9914103655372375</v>
      </c>
      <c r="R13" s="828">
        <f>+'F3'!R16</f>
        <v>2.38</v>
      </c>
      <c r="S13" s="828">
        <f>+'F3'!S16</f>
        <v>4.4422971895463563</v>
      </c>
      <c r="T13" s="29"/>
    </row>
    <row r="14" spans="2:20">
      <c r="B14" s="92">
        <f>B13+1</f>
        <v>2</v>
      </c>
      <c r="C14" s="106" t="s">
        <v>153</v>
      </c>
      <c r="D14" s="126" t="s">
        <v>254</v>
      </c>
      <c r="E14" s="828">
        <v>2.1</v>
      </c>
      <c r="F14" s="466">
        <f>+'F5.1'!E48</f>
        <v>2.2827208278849724</v>
      </c>
      <c r="G14" s="828">
        <f t="shared" ref="G14:G22" si="0">F14-E14</f>
        <v>0.18272082788497235</v>
      </c>
      <c r="H14" s="466">
        <v>2.2599999999999998</v>
      </c>
      <c r="I14" s="466">
        <f>+'F5.1'!I48</f>
        <v>2.5198361598702839</v>
      </c>
      <c r="J14" s="828">
        <f t="shared" ref="J14:J20" si="1">+I14-H14</f>
        <v>0.25983615987028408</v>
      </c>
      <c r="K14" s="466">
        <v>2.37</v>
      </c>
      <c r="L14" s="466"/>
      <c r="M14" s="466"/>
      <c r="N14" s="466">
        <f>+'F5.1'!M48</f>
        <v>2.5449222010748831</v>
      </c>
      <c r="O14" s="828">
        <f t="shared" ref="O14:O29" si="2">+N14-K14</f>
        <v>0.17492220107488299</v>
      </c>
      <c r="P14" s="466">
        <v>2.52</v>
      </c>
      <c r="Q14" s="466">
        <f>+'F5.1'!E60</f>
        <v>2.5797702010748829</v>
      </c>
      <c r="R14" s="466">
        <v>2.6</v>
      </c>
      <c r="S14" s="466">
        <f>+'F5.1'!I60</f>
        <v>2.6272902010748829</v>
      </c>
      <c r="T14" s="29"/>
    </row>
    <row r="15" spans="2:20">
      <c r="B15" s="92">
        <f t="shared" ref="B15:B26" si="3">B14+1</f>
        <v>3</v>
      </c>
      <c r="C15" s="284" t="s">
        <v>152</v>
      </c>
      <c r="D15" s="126" t="s">
        <v>64</v>
      </c>
      <c r="E15" s="1147">
        <f>+'F6'!D25</f>
        <v>3.2986056420765029</v>
      </c>
      <c r="F15" s="1147">
        <f>+'F6'!E25</f>
        <v>3.8338808780770033</v>
      </c>
      <c r="G15" s="1147">
        <f t="shared" si="0"/>
        <v>0.53527523600050042</v>
      </c>
      <c r="H15" s="1147">
        <f>+'F6'!G25</f>
        <v>3.194245</v>
      </c>
      <c r="I15" s="1147">
        <f>+'F6'!H25</f>
        <v>3.4119580605644564</v>
      </c>
      <c r="J15" s="1147">
        <f t="shared" si="1"/>
        <v>0.21771306056445638</v>
      </c>
      <c r="K15" s="1147">
        <f>+'F6'!J25</f>
        <v>3.1097700000000006</v>
      </c>
      <c r="L15" s="1147"/>
      <c r="M15" s="1147"/>
      <c r="N15" s="1147">
        <f>+'F6'!M25</f>
        <v>3.1417982543502272</v>
      </c>
      <c r="O15" s="1147">
        <f t="shared" si="2"/>
        <v>3.2028254350226604E-2</v>
      </c>
      <c r="P15" s="1147">
        <f>+'F6'!O25</f>
        <v>3.0850550000000005</v>
      </c>
      <c r="Q15" s="1147">
        <f>+'F6'!P25</f>
        <v>2.586735569964171</v>
      </c>
      <c r="R15" s="1147">
        <f>+'F6'!Q25</f>
        <v>2.92774</v>
      </c>
      <c r="S15" s="1147">
        <f>+'F6'!R25</f>
        <v>2.4032590263647449</v>
      </c>
      <c r="T15" s="105"/>
    </row>
    <row r="16" spans="2:20">
      <c r="B16" s="92">
        <f t="shared" si="3"/>
        <v>4</v>
      </c>
      <c r="C16" s="106" t="s">
        <v>75</v>
      </c>
      <c r="D16" s="126" t="s">
        <v>65</v>
      </c>
      <c r="E16" s="1147">
        <f>+'F7'!E21*ASSUM!C$16</f>
        <v>4.3000000000000003E-2</v>
      </c>
      <c r="F16" s="1147">
        <f>+'F7'!F21*ASSUM!C$16</f>
        <v>4.9361450606669605E-2</v>
      </c>
      <c r="G16" s="1147">
        <f t="shared" si="0"/>
        <v>6.3614506066696011E-3</v>
      </c>
      <c r="H16" s="1148">
        <f>+'F7'!E68</f>
        <v>1.4580000000000003E-2</v>
      </c>
      <c r="I16" s="1148">
        <f>+'F7'!F68</f>
        <v>9.3599090640029883E-3</v>
      </c>
      <c r="J16" s="1147">
        <f t="shared" si="1"/>
        <v>-5.2200909359970144E-3</v>
      </c>
      <c r="K16" s="1148">
        <f>+'F7'!H68</f>
        <v>1.2959999999999999E-2</v>
      </c>
      <c r="L16" s="1148">
        <f>+'F7'!I68</f>
        <v>0</v>
      </c>
      <c r="M16" s="1148">
        <f>+'F7'!J68</f>
        <v>0</v>
      </c>
      <c r="N16" s="1148">
        <f>+'F7'!K68</f>
        <v>0</v>
      </c>
      <c r="O16" s="1147">
        <f t="shared" si="2"/>
        <v>-1.2959999999999999E-2</v>
      </c>
      <c r="P16" s="1148">
        <f>+'F7'!M68</f>
        <v>1.209600000000001E-2</v>
      </c>
      <c r="Q16" s="1148">
        <f>+'F7'!N68</f>
        <v>0.01</v>
      </c>
      <c r="R16" s="1148">
        <f>+'F7'!O68</f>
        <v>1.1448000000000007E-2</v>
      </c>
      <c r="S16" s="1148">
        <f>+'F7'!P68</f>
        <v>0.01</v>
      </c>
      <c r="T16" s="105"/>
    </row>
    <row r="17" spans="2:20" s="91" customFormat="1">
      <c r="B17" s="92">
        <f t="shared" si="3"/>
        <v>5</v>
      </c>
      <c r="C17" s="1342" t="s">
        <v>259</v>
      </c>
      <c r="D17" s="126" t="s">
        <v>65</v>
      </c>
      <c r="E17" s="1221">
        <f>+'F7'!E27*ASSUM!$C$17</f>
        <v>2.9353760499999999E-2</v>
      </c>
      <c r="F17" s="1221">
        <f>+'F7'!F27*ASSUM!$C$17</f>
        <v>3.1788990000000003E-2</v>
      </c>
      <c r="G17" s="1221">
        <f t="shared" si="0"/>
        <v>2.4352295000000038E-3</v>
      </c>
      <c r="H17" s="1276">
        <f>+'F7'!E75</f>
        <v>5.4000000000000006E-2</v>
      </c>
      <c r="I17" s="1276">
        <f>+'F7'!F75</f>
        <v>3.4479520000000007E-2</v>
      </c>
      <c r="J17" s="1221">
        <f t="shared" si="1"/>
        <v>-1.952048E-2</v>
      </c>
      <c r="K17" s="1276">
        <f>+'F7'!H75</f>
        <v>6.2315999999999996E-2</v>
      </c>
      <c r="L17" s="1276">
        <f>+'F7'!I75</f>
        <v>0</v>
      </c>
      <c r="M17" s="1276">
        <f>+'F7'!J75</f>
        <v>0</v>
      </c>
      <c r="N17" s="1276">
        <f>+'F7'!K75</f>
        <v>3.9086653953600003E-2</v>
      </c>
      <c r="O17" s="1221">
        <f t="shared" si="2"/>
        <v>-2.3229346046399993E-2</v>
      </c>
      <c r="P17" s="1276">
        <f>+'F7'!M75</f>
        <v>6.5447999999999992E-2</v>
      </c>
      <c r="Q17" s="1276">
        <f>+'F7'!N75</f>
        <v>0.04</v>
      </c>
      <c r="R17" s="1276">
        <f>+'F7'!O75</f>
        <v>6.7715999999999998E-2</v>
      </c>
      <c r="S17" s="1276">
        <f>+'F7'!P75</f>
        <v>0.04</v>
      </c>
      <c r="T17" s="233"/>
    </row>
    <row r="18" spans="2:20">
      <c r="B18" s="92">
        <f t="shared" si="3"/>
        <v>6</v>
      </c>
      <c r="C18" s="94" t="s">
        <v>227</v>
      </c>
      <c r="D18" s="126" t="s">
        <v>68</v>
      </c>
      <c r="E18" s="1147">
        <f>+'F10'!D15</f>
        <v>0</v>
      </c>
      <c r="F18" s="1147">
        <f>+'F10'!E15</f>
        <v>0</v>
      </c>
      <c r="G18" s="1147">
        <f t="shared" si="0"/>
        <v>0</v>
      </c>
      <c r="H18" s="105">
        <f>+'F10'!G15</f>
        <v>0</v>
      </c>
      <c r="I18" s="105">
        <f>+'F10'!H15</f>
        <v>0</v>
      </c>
      <c r="J18" s="1147">
        <f t="shared" si="1"/>
        <v>0</v>
      </c>
      <c r="K18" s="105">
        <f>+'F10'!J15</f>
        <v>0</v>
      </c>
      <c r="L18" s="105">
        <f>+'F10'!K15</f>
        <v>0</v>
      </c>
      <c r="M18" s="105">
        <f>+'F10'!L15</f>
        <v>0</v>
      </c>
      <c r="N18" s="105">
        <f>+'F10'!M15</f>
        <v>0</v>
      </c>
      <c r="O18" s="1147">
        <f t="shared" si="2"/>
        <v>0</v>
      </c>
      <c r="P18" s="105">
        <f>+'F10'!O15</f>
        <v>0</v>
      </c>
      <c r="Q18" s="105">
        <f>+'F10'!P15</f>
        <v>0</v>
      </c>
      <c r="R18" s="105">
        <f>+'F10'!Q15</f>
        <v>0</v>
      </c>
      <c r="S18" s="105">
        <f>+'F10'!R15</f>
        <v>0</v>
      </c>
      <c r="T18" s="105"/>
    </row>
    <row r="19" spans="2:20">
      <c r="B19" s="92">
        <f t="shared" si="3"/>
        <v>7</v>
      </c>
      <c r="C19" s="94" t="s">
        <v>228</v>
      </c>
      <c r="D19" s="126" t="s">
        <v>69</v>
      </c>
      <c r="E19" s="1147">
        <f>+'F11'!D14</f>
        <v>0.2165</v>
      </c>
      <c r="F19" s="1147">
        <f>+'F11'!E14</f>
        <v>0.21650000000000003</v>
      </c>
      <c r="G19" s="1147">
        <f t="shared" si="0"/>
        <v>0</v>
      </c>
      <c r="H19" s="550">
        <f>+'F11'!G14</f>
        <v>0.23320000000000002</v>
      </c>
      <c r="I19" s="550">
        <f>+'F11'!H14</f>
        <v>0.25444223550278455</v>
      </c>
      <c r="J19" s="1147">
        <f t="shared" si="1"/>
        <v>2.1242235502784534E-2</v>
      </c>
      <c r="K19" s="550">
        <f>+'F11'!J14</f>
        <v>0.23694999999999999</v>
      </c>
      <c r="L19" s="550">
        <f>+'F11'!K14</f>
        <v>0</v>
      </c>
      <c r="M19" s="550">
        <f>+'F11'!L14</f>
        <v>0</v>
      </c>
      <c r="N19" s="550">
        <f>+'F11'!M14</f>
        <v>0.25709337967032225</v>
      </c>
      <c r="O19" s="1147">
        <f t="shared" si="2"/>
        <v>2.0143379670322259E-2</v>
      </c>
      <c r="P19" s="550">
        <f>+'F11'!O14</f>
        <v>0.25514999999999999</v>
      </c>
      <c r="Q19" s="550">
        <f>+'F11'!P14</f>
        <v>0.25709337967032225</v>
      </c>
      <c r="R19" s="550">
        <f>+'F11'!Q14</f>
        <v>0.26995000000000002</v>
      </c>
      <c r="S19" s="550">
        <f>+'F11'!R14</f>
        <v>0.26369337967032225</v>
      </c>
      <c r="T19" s="105"/>
    </row>
    <row r="20" spans="2:20">
      <c r="B20" s="92">
        <f t="shared" si="3"/>
        <v>8</v>
      </c>
      <c r="C20" s="235" t="s">
        <v>76</v>
      </c>
      <c r="D20" s="126" t="s">
        <v>145</v>
      </c>
      <c r="E20" s="1147">
        <f>+'F12'!D11</f>
        <v>0.45</v>
      </c>
      <c r="F20" s="1147">
        <f ca="1">+'F12'!E11</f>
        <v>2.0026546470789288</v>
      </c>
      <c r="G20" s="1147">
        <f t="shared" ca="1" si="0"/>
        <v>1.5526546470789289</v>
      </c>
      <c r="H20" s="550">
        <f>+'F12'!G11</f>
        <v>0.45</v>
      </c>
      <c r="I20" s="550">
        <f ca="1">+'F12'!H11</f>
        <v>0.30147928197489482</v>
      </c>
      <c r="J20" s="1147">
        <f t="shared" ca="1" si="1"/>
        <v>-0.14852071802510519</v>
      </c>
      <c r="K20" s="550">
        <f>+'F12'!J11</f>
        <v>0.45</v>
      </c>
      <c r="L20" s="550">
        <f>+'F12'!K11</f>
        <v>0</v>
      </c>
      <c r="M20" s="550">
        <f>+'F12'!L11</f>
        <v>0</v>
      </c>
      <c r="N20" s="550">
        <f>+'F12'!M11</f>
        <v>0.57238949223461277</v>
      </c>
      <c r="O20" s="1147">
        <f t="shared" si="2"/>
        <v>0.12238949223461276</v>
      </c>
      <c r="P20" s="550">
        <f>+'F12'!O11</f>
        <v>0.45</v>
      </c>
      <c r="Q20" s="550">
        <f>+'F12'!P11</f>
        <v>0.57944645833630759</v>
      </c>
      <c r="R20" s="550">
        <f>+'F12'!Q11</f>
        <v>0.45</v>
      </c>
      <c r="S20" s="550">
        <f>+'F12'!R11</f>
        <v>0.58906959392952796</v>
      </c>
      <c r="T20" s="105"/>
    </row>
    <row r="21" spans="2:20">
      <c r="B21" s="93">
        <f t="shared" si="3"/>
        <v>9</v>
      </c>
      <c r="C21" s="285" t="s">
        <v>77</v>
      </c>
      <c r="D21" s="127"/>
      <c r="E21" s="1149">
        <f>+SUM(E13:E20)</f>
        <v>8.2056861006879771</v>
      </c>
      <c r="F21" s="1149">
        <f t="shared" ref="F21:S21" ca="1" si="4">+SUM(F13:F20)</f>
        <v>11.623884658647576</v>
      </c>
      <c r="G21" s="1149">
        <f t="shared" ca="1" si="4"/>
        <v>3.4181985579595962</v>
      </c>
      <c r="H21" s="1149">
        <f t="shared" si="4"/>
        <v>8.3860250000000001</v>
      </c>
      <c r="I21" s="1149">
        <f ca="1">+SUM(I13:I20)</f>
        <v>9.9033320819764228</v>
      </c>
      <c r="J21" s="1149">
        <f t="shared" ca="1" si="4"/>
        <v>1.5173070819764227</v>
      </c>
      <c r="K21" s="1149">
        <f t="shared" si="4"/>
        <v>8.4819959999999988</v>
      </c>
      <c r="L21" s="1149">
        <f t="shared" si="4"/>
        <v>1.1915468499999999</v>
      </c>
      <c r="M21" s="1149">
        <f t="shared" si="4"/>
        <v>2.3558677422109442</v>
      </c>
      <c r="N21" s="1149">
        <f t="shared" si="4"/>
        <v>10.102704573494592</v>
      </c>
      <c r="O21" s="1149">
        <f t="shared" si="4"/>
        <v>1.620708573494589</v>
      </c>
      <c r="P21" s="1149">
        <f t="shared" si="4"/>
        <v>8.697749</v>
      </c>
      <c r="Q21" s="1149">
        <f t="shared" si="4"/>
        <v>10.044455974582922</v>
      </c>
      <c r="R21" s="1149">
        <f t="shared" si="4"/>
        <v>8.7068539999999999</v>
      </c>
      <c r="S21" s="1149">
        <f t="shared" si="4"/>
        <v>10.375609390585833</v>
      </c>
      <c r="T21" s="105"/>
    </row>
    <row r="22" spans="2:20">
      <c r="B22" s="92">
        <f t="shared" si="3"/>
        <v>10</v>
      </c>
      <c r="C22" s="235" t="s">
        <v>78</v>
      </c>
      <c r="D22" s="126" t="s">
        <v>66</v>
      </c>
      <c r="E22" s="1147">
        <f>+'F8'!D23</f>
        <v>2.0333446311475409</v>
      </c>
      <c r="F22" s="1147">
        <f>+'F8'!E23</f>
        <v>2.1420151350860257</v>
      </c>
      <c r="G22" s="1147">
        <f t="shared" si="0"/>
        <v>0.10867050393848476</v>
      </c>
      <c r="H22" s="1147">
        <f>+'F8'!G23</f>
        <v>2.1619400000000004</v>
      </c>
      <c r="I22" s="1147">
        <f>+'F8'!H23</f>
        <v>2.3786406105549465</v>
      </c>
      <c r="J22" s="1147">
        <f t="shared" ref="J22" si="5">I22-H22</f>
        <v>0.21670061055494605</v>
      </c>
      <c r="K22" s="1147">
        <f>+'F8'!J23</f>
        <v>2.26424</v>
      </c>
      <c r="L22" s="331"/>
      <c r="M22" s="105"/>
      <c r="N22" s="1147">
        <f>+'F8'!K23</f>
        <v>2.4007334309339967</v>
      </c>
      <c r="O22" s="1147">
        <f t="shared" si="2"/>
        <v>0.13649343093399668</v>
      </c>
      <c r="P22" s="1147">
        <f>+'F8'!M23</f>
        <v>2.4176899999999999</v>
      </c>
      <c r="Q22" s="1147">
        <f>+'F8'!N23</f>
        <v>2.4314234309339966</v>
      </c>
      <c r="R22" s="1147">
        <f>+'F8'!O23</f>
        <v>2.4866649999999999</v>
      </c>
      <c r="S22" s="1147">
        <f>+'F8'!P23</f>
        <v>2.4732734309339968</v>
      </c>
      <c r="T22" s="105"/>
    </row>
    <row r="23" spans="2:20">
      <c r="B23" s="93">
        <f t="shared" si="3"/>
        <v>11</v>
      </c>
      <c r="C23" s="285" t="s">
        <v>80</v>
      </c>
      <c r="D23" s="126"/>
      <c r="E23" s="875">
        <f>+E21+E22</f>
        <v>10.239030731835518</v>
      </c>
      <c r="F23" s="875">
        <f ca="1">+F21+F22</f>
        <v>13.765899793733603</v>
      </c>
      <c r="G23" s="875">
        <f t="shared" ref="G23:S23" ca="1" si="6">+G21+G22</f>
        <v>3.5268690618980809</v>
      </c>
      <c r="H23" s="875">
        <f t="shared" si="6"/>
        <v>10.547965000000001</v>
      </c>
      <c r="I23" s="875">
        <f t="shared" ca="1" si="6"/>
        <v>12.281972692531369</v>
      </c>
      <c r="J23" s="875">
        <f t="shared" ca="1" si="6"/>
        <v>1.7340076925313688</v>
      </c>
      <c r="K23" s="875">
        <f t="shared" si="6"/>
        <v>10.746236</v>
      </c>
      <c r="L23" s="875">
        <f t="shared" si="6"/>
        <v>1.1915468499999999</v>
      </c>
      <c r="M23" s="875">
        <f t="shared" si="6"/>
        <v>2.3558677422109442</v>
      </c>
      <c r="N23" s="875">
        <f t="shared" si="6"/>
        <v>12.503438004428588</v>
      </c>
      <c r="O23" s="875">
        <f t="shared" si="6"/>
        <v>1.7572020044285857</v>
      </c>
      <c r="P23" s="875">
        <f t="shared" si="6"/>
        <v>11.115439</v>
      </c>
      <c r="Q23" s="875">
        <f t="shared" si="6"/>
        <v>12.475879405516919</v>
      </c>
      <c r="R23" s="875">
        <f t="shared" si="6"/>
        <v>11.193519</v>
      </c>
      <c r="S23" s="875">
        <f t="shared" si="6"/>
        <v>12.84888282151983</v>
      </c>
      <c r="T23" s="105"/>
    </row>
    <row r="24" spans="2:20">
      <c r="B24" s="92">
        <f>B23+1</f>
        <v>12</v>
      </c>
      <c r="C24" s="235" t="s">
        <v>79</v>
      </c>
      <c r="D24" s="126" t="s">
        <v>67</v>
      </c>
      <c r="E24" s="1147">
        <f>+'F9'!D22</f>
        <v>0</v>
      </c>
      <c r="F24" s="1147">
        <f>+'F9'!E22</f>
        <v>0</v>
      </c>
      <c r="G24" s="1147">
        <f>+F24-E24</f>
        <v>0</v>
      </c>
      <c r="H24" s="1147">
        <f>+'F9'!G22</f>
        <v>0</v>
      </c>
      <c r="I24" s="1147">
        <f>+'F9'!H22</f>
        <v>0</v>
      </c>
      <c r="J24" s="1147">
        <f>+I24-H24</f>
        <v>0</v>
      </c>
      <c r="K24" s="1147">
        <f>+'F9'!J22</f>
        <v>0</v>
      </c>
      <c r="L24" s="1147">
        <f>+'F9'!K22</f>
        <v>0</v>
      </c>
      <c r="M24" s="1147">
        <f>+'F9'!L22</f>
        <v>0</v>
      </c>
      <c r="N24" s="1147">
        <f>+'F9'!M22</f>
        <v>0</v>
      </c>
      <c r="O24" s="1147">
        <f>+N24-K24</f>
        <v>0</v>
      </c>
      <c r="P24" s="1147">
        <f>+'F9'!O22</f>
        <v>0</v>
      </c>
      <c r="Q24" s="1147">
        <f>+'F9'!P22</f>
        <v>0</v>
      </c>
      <c r="R24" s="1147">
        <f>+'F9'!Q22</f>
        <v>0</v>
      </c>
      <c r="S24" s="1147">
        <f>+'F9'!R22</f>
        <v>0</v>
      </c>
      <c r="T24" s="105"/>
    </row>
    <row r="25" spans="2:20">
      <c r="B25" s="92">
        <f t="shared" si="3"/>
        <v>13</v>
      </c>
      <c r="C25" s="235" t="s">
        <v>232</v>
      </c>
      <c r="D25" s="126"/>
      <c r="E25" s="1147">
        <v>0</v>
      </c>
      <c r="F25" s="1147">
        <v>0</v>
      </c>
      <c r="G25" s="1147">
        <v>0</v>
      </c>
      <c r="H25" s="1147">
        <v>0</v>
      </c>
      <c r="I25" s="1147">
        <v>0</v>
      </c>
      <c r="J25" s="1147">
        <v>0</v>
      </c>
      <c r="K25" s="1147">
        <v>0</v>
      </c>
      <c r="L25" s="1147">
        <v>0</v>
      </c>
      <c r="M25" s="1147">
        <v>0</v>
      </c>
      <c r="N25" s="1147">
        <v>0</v>
      </c>
      <c r="O25" s="1147">
        <f t="shared" si="2"/>
        <v>0</v>
      </c>
      <c r="P25" s="1147">
        <v>0</v>
      </c>
      <c r="Q25" s="1147">
        <v>0</v>
      </c>
      <c r="R25" s="1147">
        <v>0</v>
      </c>
      <c r="S25" s="1147">
        <v>0</v>
      </c>
      <c r="T25" s="105"/>
    </row>
    <row r="26" spans="2:20">
      <c r="B26" s="93">
        <f t="shared" si="3"/>
        <v>14</v>
      </c>
      <c r="C26" s="285" t="s">
        <v>261</v>
      </c>
      <c r="D26" s="128"/>
      <c r="E26" s="875">
        <f t="shared" ref="E26:S26" si="7">+E23-E24-E25</f>
        <v>10.239030731835518</v>
      </c>
      <c r="F26" s="875">
        <f ca="1">+F23-F24-F25</f>
        <v>13.765899793733603</v>
      </c>
      <c r="G26" s="875">
        <f t="shared" ca="1" si="7"/>
        <v>3.5268690618980809</v>
      </c>
      <c r="H26" s="875">
        <f>+H23-H24-H25</f>
        <v>10.547965000000001</v>
      </c>
      <c r="I26" s="875">
        <f t="shared" ca="1" si="7"/>
        <v>12.281972692531369</v>
      </c>
      <c r="J26" s="875">
        <f t="shared" ca="1" si="7"/>
        <v>1.7340076925313688</v>
      </c>
      <c r="K26" s="875">
        <f t="shared" si="7"/>
        <v>10.746236</v>
      </c>
      <c r="L26" s="875">
        <f t="shared" si="7"/>
        <v>1.1915468499999999</v>
      </c>
      <c r="M26" s="875">
        <f t="shared" si="7"/>
        <v>2.3558677422109442</v>
      </c>
      <c r="N26" s="875">
        <f t="shared" si="7"/>
        <v>12.503438004428588</v>
      </c>
      <c r="O26" s="875">
        <f t="shared" si="7"/>
        <v>1.7572020044285857</v>
      </c>
      <c r="P26" s="875">
        <f t="shared" si="7"/>
        <v>11.115439</v>
      </c>
      <c r="Q26" s="875">
        <f t="shared" si="7"/>
        <v>12.475879405516919</v>
      </c>
      <c r="R26" s="1147">
        <f t="shared" si="7"/>
        <v>11.193519</v>
      </c>
      <c r="S26" s="875">
        <f t="shared" si="7"/>
        <v>12.84888282151983</v>
      </c>
      <c r="T26" s="105"/>
    </row>
    <row r="27" spans="2:20">
      <c r="B27" s="92">
        <f>+B26+1</f>
        <v>15</v>
      </c>
      <c r="C27" s="235" t="s">
        <v>1186</v>
      </c>
      <c r="D27" s="128"/>
      <c r="E27" s="954"/>
      <c r="F27" s="954"/>
      <c r="G27" s="954"/>
      <c r="H27" s="1147">
        <f>+(('F20'!$D$61/4)*H26/(H26+H56))</f>
        <v>-0.57441004033436904</v>
      </c>
      <c r="I27" s="1147">
        <f>+H27</f>
        <v>-0.57441004033436904</v>
      </c>
      <c r="J27" s="1147">
        <f t="shared" ref="J27" si="8">I27-H27</f>
        <v>0</v>
      </c>
      <c r="K27" s="1147">
        <f>+(('F20'!$D$61/4)*K26/(K26+K56))</f>
        <v>-0.52081539688136536</v>
      </c>
      <c r="L27" s="954"/>
      <c r="M27" s="954"/>
      <c r="N27" s="1147">
        <f>+K27</f>
        <v>-0.52081539688136536</v>
      </c>
      <c r="O27" s="1147">
        <f t="shared" si="2"/>
        <v>0</v>
      </c>
      <c r="P27" s="1147">
        <f>+(('F20'!$D$61/4)*P26/(P26+P56))</f>
        <v>-0.50939538001186202</v>
      </c>
      <c r="Q27" s="1147">
        <f ca="1">-(('F20'!$D$61/4*2)-'F20'!$E$61)*Q$26/(Q$26+Q$56)</f>
        <v>-4.8656579853528892E-2</v>
      </c>
      <c r="R27" s="1147">
        <f>+(('F20'!$D$61/4)*R26/(R26+R56))</f>
        <v>-0.49287303268801691</v>
      </c>
      <c r="S27" s="1147">
        <v>0</v>
      </c>
      <c r="T27" s="105"/>
    </row>
    <row r="28" spans="2:20">
      <c r="B28" s="92">
        <f t="shared" ref="B28:B29" si="9">+B27+1</f>
        <v>16</v>
      </c>
      <c r="C28" s="235" t="s">
        <v>1183</v>
      </c>
      <c r="D28" s="128"/>
      <c r="E28" s="954"/>
      <c r="F28" s="954"/>
      <c r="G28" s="954"/>
      <c r="H28" s="1147"/>
      <c r="I28" s="1147"/>
      <c r="J28" s="1147"/>
      <c r="K28" s="1147"/>
      <c r="L28" s="954"/>
      <c r="M28" s="954"/>
      <c r="N28" s="1147"/>
      <c r="O28" s="1147"/>
      <c r="P28" s="1147"/>
      <c r="Q28" s="1147"/>
      <c r="R28" s="1147"/>
      <c r="S28" s="1147"/>
      <c r="T28" s="105"/>
    </row>
    <row r="29" spans="2:20">
      <c r="B29" s="93">
        <f t="shared" si="9"/>
        <v>17</v>
      </c>
      <c r="C29" s="285" t="s">
        <v>1118</v>
      </c>
      <c r="D29" s="128"/>
      <c r="E29" s="875"/>
      <c r="F29" s="875"/>
      <c r="G29" s="875"/>
      <c r="H29" s="875">
        <f>+H26+H27</f>
        <v>9.9735549596656323</v>
      </c>
      <c r="I29" s="875">
        <f ca="1">+I26+I27+I28</f>
        <v>11.707562652197</v>
      </c>
      <c r="J29" s="875">
        <f ca="1">+J26+J27</f>
        <v>1.7340076925313688</v>
      </c>
      <c r="K29" s="875">
        <f>+K26+K27</f>
        <v>10.225420603118634</v>
      </c>
      <c r="L29" s="875"/>
      <c r="M29" s="875"/>
      <c r="N29" s="875">
        <f>+N26+N27+N28</f>
        <v>11.982622607547222</v>
      </c>
      <c r="O29" s="1150">
        <f t="shared" si="2"/>
        <v>1.7572020044285885</v>
      </c>
      <c r="P29" s="875">
        <f>+P26+P27</f>
        <v>10.606043619988139</v>
      </c>
      <c r="Q29" s="875">
        <f ca="1">+Q26+Q27+Q28</f>
        <v>12.427222825663391</v>
      </c>
      <c r="R29" s="875">
        <f>+R26+R27</f>
        <v>10.700645967311983</v>
      </c>
      <c r="S29" s="875">
        <f>+S26+S27+S28</f>
        <v>12.84888282151983</v>
      </c>
      <c r="T29" s="105"/>
    </row>
    <row r="30" spans="2:20">
      <c r="B30" s="18" t="s">
        <v>421</v>
      </c>
      <c r="C30" s="18" t="s">
        <v>680</v>
      </c>
    </row>
    <row r="33" spans="2:20">
      <c r="C33" s="283" t="s">
        <v>257</v>
      </c>
    </row>
    <row r="35" spans="2:20" s="389" customFormat="1">
      <c r="B35" s="1355" t="s">
        <v>157</v>
      </c>
      <c r="C35" s="1358" t="s">
        <v>49</v>
      </c>
      <c r="D35" s="1358" t="s">
        <v>10</v>
      </c>
      <c r="E35" s="1360" t="s">
        <v>670</v>
      </c>
      <c r="F35" s="1361"/>
      <c r="G35" s="1362"/>
      <c r="H35" s="1360" t="s">
        <v>146</v>
      </c>
      <c r="I35" s="1361"/>
      <c r="J35" s="1362"/>
      <c r="K35" s="1360" t="s">
        <v>147</v>
      </c>
      <c r="L35" s="1361"/>
      <c r="M35" s="1361"/>
      <c r="N35" s="1361"/>
      <c r="O35" s="1362"/>
      <c r="P35" s="1360" t="s">
        <v>148</v>
      </c>
      <c r="Q35" s="1362"/>
      <c r="R35" s="1363" t="s">
        <v>149</v>
      </c>
      <c r="S35" s="1363"/>
      <c r="T35" s="1363" t="s">
        <v>42</v>
      </c>
    </row>
    <row r="36" spans="2:20" s="389" customFormat="1" ht="33" customHeight="1">
      <c r="B36" s="1356"/>
      <c r="C36" s="1358"/>
      <c r="D36" s="1358"/>
      <c r="E36" s="405" t="s">
        <v>746</v>
      </c>
      <c r="F36" s="391" t="s">
        <v>414</v>
      </c>
      <c r="G36" s="391" t="s">
        <v>415</v>
      </c>
      <c r="H36" s="390" t="s">
        <v>413</v>
      </c>
      <c r="I36" s="391" t="s">
        <v>414</v>
      </c>
      <c r="J36" s="391" t="s">
        <v>415</v>
      </c>
      <c r="K36" s="391" t="s">
        <v>413</v>
      </c>
      <c r="L36" s="1218" t="s">
        <v>416</v>
      </c>
      <c r="M36" s="1218" t="s">
        <v>1314</v>
      </c>
      <c r="N36" s="1218" t="s">
        <v>1315</v>
      </c>
      <c r="O36" s="391" t="s">
        <v>417</v>
      </c>
      <c r="P36" s="391" t="s">
        <v>413</v>
      </c>
      <c r="Q36" s="391" t="s">
        <v>671</v>
      </c>
      <c r="R36" s="391" t="s">
        <v>413</v>
      </c>
      <c r="S36" s="391" t="s">
        <v>671</v>
      </c>
      <c r="T36" s="1363"/>
    </row>
    <row r="37" spans="2:20" s="389" customFormat="1">
      <c r="B37" s="1357"/>
      <c r="C37" s="1359"/>
      <c r="D37" s="1359"/>
      <c r="E37" s="391" t="s">
        <v>72</v>
      </c>
      <c r="F37" s="391" t="s">
        <v>73</v>
      </c>
      <c r="G37" s="391" t="s">
        <v>705</v>
      </c>
      <c r="H37" s="391" t="s">
        <v>419</v>
      </c>
      <c r="I37" s="391" t="s">
        <v>420</v>
      </c>
      <c r="J37" s="391" t="s">
        <v>706</v>
      </c>
      <c r="K37" s="391" t="s">
        <v>676</v>
      </c>
      <c r="L37" s="391" t="s">
        <v>593</v>
      </c>
      <c r="M37" s="391" t="s">
        <v>677</v>
      </c>
      <c r="N37" s="391" t="s">
        <v>707</v>
      </c>
      <c r="O37" s="391" t="s">
        <v>708</v>
      </c>
      <c r="P37" s="391" t="s">
        <v>709</v>
      </c>
      <c r="Q37" s="391" t="s">
        <v>596</v>
      </c>
      <c r="R37" s="391" t="s">
        <v>710</v>
      </c>
      <c r="S37" s="391" t="s">
        <v>711</v>
      </c>
      <c r="T37" s="1364"/>
    </row>
    <row r="38" spans="2:20">
      <c r="B38" s="92">
        <v>1</v>
      </c>
      <c r="C38" s="235" t="s">
        <v>262</v>
      </c>
      <c r="D38" s="125" t="s">
        <v>234</v>
      </c>
      <c r="E38" s="1147">
        <v>34.49</v>
      </c>
      <c r="F38" s="560">
        <f>+'F2'!Q36</f>
        <v>35.425104900000001</v>
      </c>
      <c r="G38" s="560">
        <f>+F38-E38</f>
        <v>0.93510489999999891</v>
      </c>
      <c r="H38" s="560">
        <f>+'F2'!Q53</f>
        <v>38.864996331315126</v>
      </c>
      <c r="I38" s="560">
        <f>+'F2'!Q72</f>
        <v>34.393057550830008</v>
      </c>
      <c r="J38" s="560">
        <f>+I38-H38</f>
        <v>-4.4719387804851181</v>
      </c>
      <c r="K38" s="560">
        <f>+'F2'!Q88</f>
        <v>44.294680000000007</v>
      </c>
      <c r="L38" s="560"/>
      <c r="M38" s="560"/>
      <c r="N38" s="560">
        <f>+'F2'!Q105</f>
        <v>33.503314965081636</v>
      </c>
      <c r="O38" s="560">
        <f>+N38-K38</f>
        <v>-10.791365034918371</v>
      </c>
      <c r="P38" s="560">
        <f>+'F2'!Q120</f>
        <v>46.862711638923805</v>
      </c>
      <c r="Q38" s="560">
        <f>+'F2'!Q137</f>
        <v>41.240967320503948</v>
      </c>
      <c r="R38" s="560">
        <f>+'F2'!Q152</f>
        <v>49.420724683211752</v>
      </c>
      <c r="S38" s="560">
        <f>+'F2'!Q169</f>
        <v>42.609824557187324</v>
      </c>
      <c r="T38" s="29"/>
    </row>
    <row r="39" spans="2:20">
      <c r="B39" s="92">
        <f>B38+1</f>
        <v>2</v>
      </c>
      <c r="C39" s="284" t="s">
        <v>74</v>
      </c>
      <c r="D39" s="126" t="s">
        <v>55</v>
      </c>
      <c r="E39" s="1147">
        <f>+'F3'!E29</f>
        <v>1.0060714393019432</v>
      </c>
      <c r="F39" s="1147">
        <f>+'F3'!F29</f>
        <v>1.7268342350000001</v>
      </c>
      <c r="G39" s="560">
        <f t="shared" ref="G39:G52" si="10">+F39-E39</f>
        <v>0.7207627956980569</v>
      </c>
      <c r="H39" s="1147">
        <f>+'F3'!H29</f>
        <v>1.0649999999999999</v>
      </c>
      <c r="I39" s="1147">
        <f>+'F3'!I29</f>
        <v>1.8155721850000002</v>
      </c>
      <c r="J39" s="560">
        <f t="shared" ref="J39:J52" si="11">+I39-H39</f>
        <v>0.75057218500000022</v>
      </c>
      <c r="K39" s="1147">
        <f>+'F3'!K29</f>
        <v>1.1000000000000001</v>
      </c>
      <c r="L39" s="1147">
        <f>+'F3'!L29</f>
        <v>0.64160214999999987</v>
      </c>
      <c r="M39" s="1147">
        <f>+'F3'!M29</f>
        <v>1.2685441688828161</v>
      </c>
      <c r="N39" s="1147">
        <f>+'F3'!N29</f>
        <v>1.9101463188828161</v>
      </c>
      <c r="O39" s="560">
        <f t="shared" ref="O39:O52" si="12">+N39-K39</f>
        <v>0.81014631888281596</v>
      </c>
      <c r="P39" s="1147">
        <f>+'F3'!P29</f>
        <v>1.1299999999999999</v>
      </c>
      <c r="Q39" s="1147">
        <f>+'F3'!Q29</f>
        <v>2.1492209660585124</v>
      </c>
      <c r="R39" s="1147">
        <f>+'F3'!R29</f>
        <v>1.1599999999999999</v>
      </c>
      <c r="S39" s="1147">
        <f>+'F3'!S29</f>
        <v>2.3920061789864988</v>
      </c>
      <c r="T39" s="29"/>
    </row>
    <row r="40" spans="2:20">
      <c r="B40" s="92">
        <f t="shared" ref="B40:B56" si="13">B39+1</f>
        <v>3</v>
      </c>
      <c r="C40" s="106" t="s">
        <v>153</v>
      </c>
      <c r="D40" s="126" t="s">
        <v>255</v>
      </c>
      <c r="E40" s="1147">
        <v>0.08</v>
      </c>
      <c r="F40" s="560">
        <f>+'F5.2'!E48</f>
        <v>8.1559907855027869E-2</v>
      </c>
      <c r="G40" s="560">
        <f t="shared" si="10"/>
        <v>1.5599078550278672E-3</v>
      </c>
      <c r="H40" s="560">
        <v>0.1</v>
      </c>
      <c r="I40" s="560">
        <f>+'F5.2'!I48</f>
        <v>8.9335976329716307E-2</v>
      </c>
      <c r="J40" s="560">
        <f t="shared" si="11"/>
        <v>-1.0664023670283698E-2</v>
      </c>
      <c r="K40" s="560">
        <v>0.1</v>
      </c>
      <c r="L40" s="560"/>
      <c r="M40" s="560"/>
      <c r="N40" s="560">
        <f>+'F5.2'!M48</f>
        <v>8.9795034485117303E-2</v>
      </c>
      <c r="O40" s="560">
        <f t="shared" si="12"/>
        <v>-1.0204965514882702E-2</v>
      </c>
      <c r="P40" s="560">
        <v>0.1</v>
      </c>
      <c r="Q40" s="560">
        <f>+'F5.2'!E60</f>
        <v>8.9795034485117303E-2</v>
      </c>
      <c r="R40" s="560">
        <v>0.1</v>
      </c>
      <c r="S40" s="560">
        <f>+'F5.2'!I60</f>
        <v>8.9795034485117303E-2</v>
      </c>
      <c r="T40" s="29"/>
    </row>
    <row r="41" spans="2:20">
      <c r="B41" s="92">
        <f t="shared" si="13"/>
        <v>4</v>
      </c>
      <c r="C41" s="284" t="s">
        <v>152</v>
      </c>
      <c r="D41" s="126" t="s">
        <v>64</v>
      </c>
      <c r="E41" s="1147">
        <f>+'F6'!D76</f>
        <v>0.11986006284153004</v>
      </c>
      <c r="F41" s="1147">
        <f>+'F6'!E76</f>
        <v>0.11346033119493144</v>
      </c>
      <c r="G41" s="560">
        <f t="shared" si="10"/>
        <v>-6.3997316465985998E-3</v>
      </c>
      <c r="H41" s="1147">
        <f>+'F6'!G76</f>
        <v>0.12556799999999996</v>
      </c>
      <c r="I41" s="1147">
        <f>+'F6'!H76</f>
        <v>0.11080141424404269</v>
      </c>
      <c r="J41" s="560">
        <f t="shared" si="11"/>
        <v>-1.4766585755957268E-2</v>
      </c>
      <c r="K41" s="1147">
        <f>+'F6'!J76</f>
        <v>0.11608499999999999</v>
      </c>
      <c r="L41" s="560"/>
      <c r="M41" s="560"/>
      <c r="N41" s="1147">
        <f>+'F6'!M76</f>
        <v>0.10079859899903271</v>
      </c>
      <c r="O41" s="560">
        <f t="shared" si="12"/>
        <v>-1.5286401000967287E-2</v>
      </c>
      <c r="P41" s="1147">
        <f>+'F6'!O76</f>
        <v>0.10627499999999998</v>
      </c>
      <c r="Q41" s="1147">
        <f>+'F6'!P76</f>
        <v>8.091759957242832E-2</v>
      </c>
      <c r="R41" s="1147">
        <f>+'F6'!Q76</f>
        <v>9.5919999999999991E-2</v>
      </c>
      <c r="S41" s="1147">
        <f>+'F6'!R76</f>
        <v>7.261155888255498E-2</v>
      </c>
      <c r="T41" s="29"/>
    </row>
    <row r="42" spans="2:20">
      <c r="B42" s="92">
        <f t="shared" si="13"/>
        <v>5</v>
      </c>
      <c r="C42" s="106" t="s">
        <v>75</v>
      </c>
      <c r="D42" s="126" t="s">
        <v>65</v>
      </c>
      <c r="E42" s="1147">
        <f>+'F7'!E21-'ARR-Summary'!$E$16</f>
        <v>0.38700000000000001</v>
      </c>
      <c r="F42" s="1147">
        <f>+'F7'!F21-'ARR-Summary'!$E$16</f>
        <v>0.45061450606669601</v>
      </c>
      <c r="G42" s="560">
        <f t="shared" si="10"/>
        <v>6.3614506066695997E-2</v>
      </c>
      <c r="H42" s="560">
        <f>+'F7'!E69</f>
        <v>0.13122</v>
      </c>
      <c r="I42" s="560">
        <f>+'F7'!F69</f>
        <v>8.4239181576026903E-2</v>
      </c>
      <c r="J42" s="560">
        <f t="shared" si="11"/>
        <v>-4.69808184239731E-2</v>
      </c>
      <c r="K42" s="560">
        <f>+'F7'!H69</f>
        <v>0.11663999999999999</v>
      </c>
      <c r="L42" s="560">
        <f>+'F7'!I69</f>
        <v>0</v>
      </c>
      <c r="M42" s="560">
        <f>+'F7'!J69</f>
        <v>0</v>
      </c>
      <c r="N42" s="560">
        <f>+'F7'!K69</f>
        <v>0</v>
      </c>
      <c r="O42" s="560">
        <f t="shared" si="12"/>
        <v>-0.11663999999999999</v>
      </c>
      <c r="P42" s="560">
        <f>+'F7'!M69</f>
        <v>0.10886400000000007</v>
      </c>
      <c r="Q42" s="560">
        <f>+'F7'!N69</f>
        <v>2.1835060483330788E-2</v>
      </c>
      <c r="R42" s="560">
        <f>+'F7'!O69</f>
        <v>0.10303200000000004</v>
      </c>
      <c r="S42" s="560">
        <f>+'F7'!P69</f>
        <v>3.9257481385986316E-2</v>
      </c>
      <c r="T42" s="29"/>
    </row>
    <row r="43" spans="2:20">
      <c r="B43" s="92">
        <f t="shared" si="13"/>
        <v>6</v>
      </c>
      <c r="C43" s="94" t="s">
        <v>263</v>
      </c>
      <c r="D43" s="126" t="s">
        <v>65</v>
      </c>
      <c r="E43" s="1147">
        <f>+'F7'!E27-'ARR-Summary'!E17</f>
        <v>0.26418384449999999</v>
      </c>
      <c r="F43" s="1147">
        <f>+'F7'!F27-'ARR-Summary'!F17</f>
        <v>0.28610090999999999</v>
      </c>
      <c r="G43" s="560">
        <f t="shared" si="10"/>
        <v>2.1917065499999999E-2</v>
      </c>
      <c r="H43" s="560">
        <f>+'F7'!E76</f>
        <v>0.48600000000000004</v>
      </c>
      <c r="I43" s="560">
        <f>+'F7'!F76</f>
        <v>0.31031568000000004</v>
      </c>
      <c r="J43" s="560">
        <f t="shared" si="11"/>
        <v>-0.17568432</v>
      </c>
      <c r="K43" s="560">
        <f>+'F7'!H76</f>
        <v>0.5608439999999999</v>
      </c>
      <c r="L43" s="560">
        <f>+'F7'!I76</f>
        <v>0</v>
      </c>
      <c r="M43" s="560">
        <f>+'F7'!J76</f>
        <v>0</v>
      </c>
      <c r="N43" s="560">
        <f>+'F7'!K76</f>
        <v>0.35177988558240003</v>
      </c>
      <c r="O43" s="560">
        <f t="shared" si="12"/>
        <v>-0.20906411441759987</v>
      </c>
      <c r="P43" s="560">
        <f>+'F7'!M76</f>
        <v>0.589032</v>
      </c>
      <c r="Q43" s="560">
        <f>+'F7'!N76</f>
        <v>0.32328030200000002</v>
      </c>
      <c r="R43" s="560">
        <f>+'F7'!O76</f>
        <v>0.60944399999999999</v>
      </c>
      <c r="S43" s="560">
        <f>+'F7'!P76</f>
        <v>0.32328030200000002</v>
      </c>
      <c r="T43" s="29"/>
    </row>
    <row r="44" spans="2:20">
      <c r="B44" s="92">
        <f t="shared" si="13"/>
        <v>7</v>
      </c>
      <c r="C44" s="94" t="s">
        <v>227</v>
      </c>
      <c r="D44" s="126" t="s">
        <v>68</v>
      </c>
      <c r="E44" s="1147">
        <f>+'F10'!D30</f>
        <v>0</v>
      </c>
      <c r="F44" s="1147">
        <f>+'F10'!E30</f>
        <v>0</v>
      </c>
      <c r="G44" s="560">
        <f t="shared" si="10"/>
        <v>0</v>
      </c>
      <c r="H44" s="560">
        <f t="shared" ref="H44" si="14">+G44-F44</f>
        <v>0</v>
      </c>
      <c r="I44" s="560">
        <f>+H44-G44</f>
        <v>0</v>
      </c>
      <c r="J44" s="560">
        <f t="shared" si="11"/>
        <v>0</v>
      </c>
      <c r="K44" s="560">
        <f t="shared" ref="K44" si="15">+J44-I44</f>
        <v>0</v>
      </c>
      <c r="L44" s="560">
        <f t="shared" ref="L44" si="16">+K44-J44</f>
        <v>0</v>
      </c>
      <c r="M44" s="560">
        <f t="shared" ref="M44" si="17">+L44-K44</f>
        <v>0</v>
      </c>
      <c r="N44" s="560">
        <f t="shared" ref="N44" si="18">+M44-L44</f>
        <v>0</v>
      </c>
      <c r="O44" s="560">
        <f t="shared" ref="O44" si="19">+N44-M44</f>
        <v>0</v>
      </c>
      <c r="P44" s="560">
        <f t="shared" ref="P44" si="20">+O44-N44</f>
        <v>0</v>
      </c>
      <c r="Q44" s="560">
        <f t="shared" ref="Q44" si="21">+P44-O44</f>
        <v>0</v>
      </c>
      <c r="R44" s="560">
        <f t="shared" ref="R44" si="22">+Q44-P44</f>
        <v>0</v>
      </c>
      <c r="S44" s="560">
        <f t="shared" ref="S44" si="23">+R44-Q44</f>
        <v>0</v>
      </c>
      <c r="T44" s="29"/>
    </row>
    <row r="45" spans="2:20">
      <c r="B45" s="92">
        <f t="shared" si="13"/>
        <v>8</v>
      </c>
      <c r="C45" s="94" t="s">
        <v>228</v>
      </c>
      <c r="D45" s="126" t="s">
        <v>69</v>
      </c>
      <c r="E45" s="1147">
        <f>+'F11'!D30</f>
        <v>7.0999999999999995E-3</v>
      </c>
      <c r="F45" s="1147">
        <f>+'F11'!E30</f>
        <v>7.0999999999999995E-3</v>
      </c>
      <c r="G45" s="560">
        <f t="shared" si="10"/>
        <v>0</v>
      </c>
      <c r="H45" s="560">
        <f>+'F11'!G30</f>
        <v>9.2500000000000013E-3</v>
      </c>
      <c r="I45" s="560">
        <f>+'F11'!H30</f>
        <v>8.3442949972154651E-3</v>
      </c>
      <c r="J45" s="560">
        <f t="shared" si="11"/>
        <v>-9.057050027845362E-4</v>
      </c>
      <c r="K45" s="560">
        <f>+'F11'!J30</f>
        <v>9.2500000000000013E-3</v>
      </c>
      <c r="L45" s="560">
        <f>+'F11'!K30</f>
        <v>0</v>
      </c>
      <c r="M45" s="560">
        <f>+'F11'!L30</f>
        <v>0</v>
      </c>
      <c r="N45" s="560">
        <f>+'F11'!M30</f>
        <v>8.4312378296777755E-3</v>
      </c>
      <c r="O45" s="560">
        <f t="shared" si="12"/>
        <v>-8.1876217032222573E-4</v>
      </c>
      <c r="P45" s="560">
        <f>+'F11'!O30</f>
        <v>9.300000000000001E-3</v>
      </c>
      <c r="Q45" s="560">
        <f>+'F11'!P30</f>
        <v>8.4312378296777755E-3</v>
      </c>
      <c r="R45" s="560">
        <f>+'F11'!Q30</f>
        <v>9.3500000000000007E-3</v>
      </c>
      <c r="S45" s="560">
        <f>+'F11'!R30</f>
        <v>8.4312378296777755E-3</v>
      </c>
      <c r="T45" s="29"/>
    </row>
    <row r="46" spans="2:20">
      <c r="B46" s="92">
        <f t="shared" si="13"/>
        <v>9</v>
      </c>
      <c r="C46" s="94" t="s">
        <v>230</v>
      </c>
      <c r="D46" s="126" t="s">
        <v>344</v>
      </c>
      <c r="E46" s="560">
        <f>+'F2.2'!D11</f>
        <v>0</v>
      </c>
      <c r="F46" s="560">
        <f>+'F2.2'!E11*0</f>
        <v>0</v>
      </c>
      <c r="G46" s="560">
        <f t="shared" si="10"/>
        <v>0</v>
      </c>
      <c r="H46" s="560">
        <f>+'F2.2'!G11</f>
        <v>4.04</v>
      </c>
      <c r="I46" s="560">
        <f>+'F2.2'!H11</f>
        <v>4.8914493999999999</v>
      </c>
      <c r="J46" s="560">
        <f t="shared" si="11"/>
        <v>0.85144939999999991</v>
      </c>
      <c r="K46" s="560">
        <f>+'F2.2'!J11</f>
        <v>5.18</v>
      </c>
      <c r="L46" s="560">
        <f>+'F2.2'!K11</f>
        <v>2.5884</v>
      </c>
      <c r="M46" s="560">
        <f>+'F2.2'!L11</f>
        <v>2.5884</v>
      </c>
      <c r="N46" s="560">
        <f>+'F2.2'!M11</f>
        <v>5.1768000000000001</v>
      </c>
      <c r="O46" s="560">
        <f t="shared" si="12"/>
        <v>-3.1999999999996476E-3</v>
      </c>
      <c r="P46" s="560">
        <f>+'F2.2'!O11</f>
        <v>5.79</v>
      </c>
      <c r="Q46" s="560">
        <f>+'F2.2'!P11</f>
        <v>5.79</v>
      </c>
      <c r="R46" s="560">
        <f>+'F2.2'!Q11</f>
        <v>5.81</v>
      </c>
      <c r="S46" s="560">
        <f>+'F2.2'!R11</f>
        <v>5.81</v>
      </c>
      <c r="T46" s="29"/>
    </row>
    <row r="47" spans="2:20">
      <c r="B47" s="92">
        <f t="shared" si="13"/>
        <v>10</v>
      </c>
      <c r="C47" s="94" t="s">
        <v>231</v>
      </c>
      <c r="D47" s="126" t="s">
        <v>344</v>
      </c>
      <c r="E47" s="560">
        <f>+'F2.2'!D12</f>
        <v>0</v>
      </c>
      <c r="F47" s="560">
        <f>+'F2.2'!E12*0</f>
        <v>0</v>
      </c>
      <c r="G47" s="560">
        <f t="shared" ref="G47" si="24">+F47-E47</f>
        <v>0</v>
      </c>
      <c r="H47" s="560">
        <f>+'F2.2'!G12</f>
        <v>0.01</v>
      </c>
      <c r="I47" s="560">
        <f>+'F2.2'!H12</f>
        <v>9.9000000000000008E-3</v>
      </c>
      <c r="J47" s="560">
        <f t="shared" ref="J47" si="25">+I47-H47</f>
        <v>-9.9999999999999395E-5</v>
      </c>
      <c r="K47" s="560">
        <f>+'F2.2'!J12</f>
        <v>0.02</v>
      </c>
      <c r="L47" s="560">
        <f>+'F2.2'!K12</f>
        <v>8.3999999999999995E-3</v>
      </c>
      <c r="M47" s="560">
        <f>+'F2.2'!L12</f>
        <v>8.3999999999999995E-3</v>
      </c>
      <c r="N47" s="560">
        <f>+'F2.2'!M12</f>
        <v>1.6799999999999999E-2</v>
      </c>
      <c r="O47" s="560">
        <f t="shared" ref="O47" si="26">+N47-K47</f>
        <v>-3.2000000000000015E-3</v>
      </c>
      <c r="P47" s="560">
        <f>+'F2.2'!O12</f>
        <v>0.02</v>
      </c>
      <c r="Q47" s="560">
        <f>+'F2.2'!P12</f>
        <v>1.6799999999999999E-2</v>
      </c>
      <c r="R47" s="560">
        <f>+'F2.2'!Q12</f>
        <v>0.02</v>
      </c>
      <c r="S47" s="560">
        <f>+'F2.2'!R12</f>
        <v>1.7999999999999999E-2</v>
      </c>
      <c r="T47" s="29"/>
    </row>
    <row r="48" spans="2:20">
      <c r="B48" s="92">
        <f t="shared" si="13"/>
        <v>11</v>
      </c>
      <c r="C48" s="235" t="s">
        <v>76</v>
      </c>
      <c r="D48" s="126" t="s">
        <v>145</v>
      </c>
      <c r="E48" s="1147">
        <f>+'F12'!D12</f>
        <v>4.9999999999999989E-2</v>
      </c>
      <c r="F48" s="1147">
        <f ca="1">+'F12'!E12</f>
        <v>0.22251718300876977</v>
      </c>
      <c r="G48" s="560">
        <f t="shared" ca="1" si="10"/>
        <v>0.17251718300876978</v>
      </c>
      <c r="H48" s="560">
        <f>+'F12'!G12</f>
        <v>4.9999999999999989E-2</v>
      </c>
      <c r="I48" s="560">
        <f ca="1">+'F12'!H12</f>
        <v>3.3497697997210529E-2</v>
      </c>
      <c r="J48" s="560">
        <f t="shared" ca="1" si="11"/>
        <v>-1.650230200278946E-2</v>
      </c>
      <c r="K48" s="560">
        <f>+'F12'!J12</f>
        <v>4.9999999999999989E-2</v>
      </c>
      <c r="L48" s="560">
        <f>+'F12'!K12</f>
        <v>0</v>
      </c>
      <c r="M48" s="560">
        <f>+'F12'!L12</f>
        <v>0</v>
      </c>
      <c r="N48" s="560">
        <f>+'F12'!M12</f>
        <v>6.3598832470512456E-2</v>
      </c>
      <c r="O48" s="560">
        <f t="shared" si="12"/>
        <v>1.3598832470512467E-2</v>
      </c>
      <c r="P48" s="560">
        <f>+'F12'!O12</f>
        <v>4.9999999999999989E-2</v>
      </c>
      <c r="Q48" s="560">
        <f>+'F12'!P12</f>
        <v>6.4382939815145313E-2</v>
      </c>
      <c r="R48" s="560">
        <f>+'F12'!Q12</f>
        <v>4.9999999999999989E-2</v>
      </c>
      <c r="S48" s="560">
        <f>+'F12'!R12</f>
        <v>6.5452177103280884E-2</v>
      </c>
      <c r="T48" s="29"/>
    </row>
    <row r="49" spans="2:20">
      <c r="B49" s="92">
        <f t="shared" si="13"/>
        <v>12</v>
      </c>
      <c r="C49" s="285" t="s">
        <v>77</v>
      </c>
      <c r="D49" s="127"/>
      <c r="E49" s="1150">
        <f>+SUM(E38:E48)</f>
        <v>36.404215346643475</v>
      </c>
      <c r="F49" s="1150">
        <f t="shared" ref="F49:R49" ca="1" si="27">+SUM(F38:F48)</f>
        <v>38.31329197312543</v>
      </c>
      <c r="G49" s="1150">
        <f t="shared" ca="1" si="27"/>
        <v>1.9090766264819508</v>
      </c>
      <c r="H49" s="1150">
        <f t="shared" si="27"/>
        <v>44.882034331315118</v>
      </c>
      <c r="I49" s="1150">
        <f ca="1">+SUM(I38:I48)</f>
        <v>41.746513380974221</v>
      </c>
      <c r="J49" s="1150">
        <f t="shared" ca="1" si="27"/>
        <v>-3.1355209503409061</v>
      </c>
      <c r="K49" s="1150">
        <f t="shared" si="27"/>
        <v>51.547499000000009</v>
      </c>
      <c r="L49" s="1150">
        <f t="shared" si="27"/>
        <v>3.2384021499999998</v>
      </c>
      <c r="M49" s="1150">
        <f t="shared" si="27"/>
        <v>3.8653441688828161</v>
      </c>
      <c r="N49" s="1150">
        <f>+SUM(N38:N48)</f>
        <v>41.221464873331193</v>
      </c>
      <c r="O49" s="1150">
        <f t="shared" si="27"/>
        <v>-10.326034126668814</v>
      </c>
      <c r="P49" s="1150">
        <f t="shared" si="27"/>
        <v>54.766182638923809</v>
      </c>
      <c r="Q49" s="1150">
        <f>+SUM(Q38:Q48)</f>
        <v>49.785630460748166</v>
      </c>
      <c r="R49" s="1150">
        <f t="shared" si="27"/>
        <v>57.378470683211752</v>
      </c>
      <c r="S49" s="1150">
        <f>+SUM(S38:S48)</f>
        <v>51.428658527860442</v>
      </c>
      <c r="T49" s="29"/>
    </row>
    <row r="50" spans="2:20">
      <c r="B50" s="92">
        <f t="shared" si="13"/>
        <v>13</v>
      </c>
      <c r="C50" s="235" t="s">
        <v>78</v>
      </c>
      <c r="D50" s="126" t="s">
        <v>66</v>
      </c>
      <c r="E50" s="1147">
        <f>+'F8'!D42</f>
        <v>8.3961270491803269E-2</v>
      </c>
      <c r="F50" s="1147">
        <f>+'F8'!E42</f>
        <v>9.8749341887851699E-2</v>
      </c>
      <c r="G50" s="560">
        <f t="shared" si="10"/>
        <v>1.478807139604843E-2</v>
      </c>
      <c r="H50" s="1147">
        <f>+'F8'!G42</f>
        <v>9.5374999999999988E-2</v>
      </c>
      <c r="I50" s="1147">
        <f>+'F8'!H42</f>
        <v>8.8071547341189521E-2</v>
      </c>
      <c r="J50" s="560">
        <f t="shared" si="11"/>
        <v>-7.3034526588104665E-3</v>
      </c>
      <c r="K50" s="1147">
        <f>+'F8'!J42</f>
        <v>9.5374999999999988E-2</v>
      </c>
      <c r="L50" s="331"/>
      <c r="M50" s="560"/>
      <c r="N50" s="1147">
        <f>+'F8'!K42</f>
        <v>8.8527997211616638E-2</v>
      </c>
      <c r="O50" s="560">
        <f t="shared" si="12"/>
        <v>-6.8470027883833495E-3</v>
      </c>
      <c r="P50" s="1147">
        <f>+'F8'!M42</f>
        <v>9.7124999999999989E-2</v>
      </c>
      <c r="Q50" s="1147">
        <f>+'F8'!N42</f>
        <v>8.8527997211616638E-2</v>
      </c>
      <c r="R50" s="1147">
        <f>+'F8'!O42</f>
        <v>9.7124999999999989E-2</v>
      </c>
      <c r="S50" s="1147">
        <f>+'F8'!P42</f>
        <v>8.8527997211616638E-2</v>
      </c>
      <c r="T50" s="29"/>
    </row>
    <row r="51" spans="2:20">
      <c r="B51" s="92">
        <f t="shared" si="13"/>
        <v>14</v>
      </c>
      <c r="C51" s="285" t="s">
        <v>80</v>
      </c>
      <c r="D51" s="126"/>
      <c r="E51" s="1150">
        <f>+E49+E50</f>
        <v>36.488176617135281</v>
      </c>
      <c r="F51" s="1150">
        <f t="shared" ref="F51:S51" ca="1" si="28">+F49+F50</f>
        <v>38.412041315013283</v>
      </c>
      <c r="G51" s="1150">
        <f t="shared" ca="1" si="28"/>
        <v>1.9238646978779992</v>
      </c>
      <c r="H51" s="1150">
        <f t="shared" si="28"/>
        <v>44.977409331315116</v>
      </c>
      <c r="I51" s="1150">
        <f ca="1">+I49+I50</f>
        <v>41.834584928315408</v>
      </c>
      <c r="J51" s="1150">
        <f t="shared" ca="1" si="28"/>
        <v>-3.1428244029997163</v>
      </c>
      <c r="K51" s="1150">
        <f t="shared" si="28"/>
        <v>51.642874000000006</v>
      </c>
      <c r="L51" s="1150">
        <f t="shared" si="28"/>
        <v>3.2384021499999998</v>
      </c>
      <c r="M51" s="1150">
        <f t="shared" si="28"/>
        <v>3.8653441688828161</v>
      </c>
      <c r="N51" s="1150">
        <f>+N49+N50</f>
        <v>41.309992870542807</v>
      </c>
      <c r="O51" s="1150">
        <f t="shared" si="28"/>
        <v>-10.332881129457197</v>
      </c>
      <c r="P51" s="1150">
        <f t="shared" si="28"/>
        <v>54.863307638923807</v>
      </c>
      <c r="Q51" s="1150">
        <f>+Q49+Q50</f>
        <v>49.87415845795978</v>
      </c>
      <c r="R51" s="1150">
        <f t="shared" si="28"/>
        <v>57.47559568321175</v>
      </c>
      <c r="S51" s="1150">
        <f t="shared" si="28"/>
        <v>51.517186525072056</v>
      </c>
      <c r="T51" s="29"/>
    </row>
    <row r="52" spans="2:20">
      <c r="B52" s="92">
        <f t="shared" si="13"/>
        <v>15</v>
      </c>
      <c r="C52" s="235" t="s">
        <v>79</v>
      </c>
      <c r="D52" s="126" t="s">
        <v>67</v>
      </c>
      <c r="E52" s="1147">
        <f>+'F9'!D46</f>
        <v>0.02</v>
      </c>
      <c r="F52" s="1147">
        <f>+'F9'!E46</f>
        <v>0.29620999999999997</v>
      </c>
      <c r="G52" s="560">
        <f t="shared" si="10"/>
        <v>0.27620999999999996</v>
      </c>
      <c r="H52" s="560">
        <f>+'F9'!G46</f>
        <v>0.01</v>
      </c>
      <c r="I52" s="560">
        <f>+'F9'!H46</f>
        <v>0.29696020000000001</v>
      </c>
      <c r="J52" s="560">
        <f t="shared" si="11"/>
        <v>0.2869602</v>
      </c>
      <c r="K52" s="560">
        <f>+'F9'!J46</f>
        <v>0.01</v>
      </c>
      <c r="L52" s="560"/>
      <c r="M52" s="560"/>
      <c r="N52" s="560">
        <f>+'F9'!M46</f>
        <v>5.1023999999999993E-2</v>
      </c>
      <c r="O52" s="560">
        <f t="shared" si="12"/>
        <v>4.1023999999999991E-2</v>
      </c>
      <c r="P52" s="560">
        <f>+'F9'!O46</f>
        <v>0.01</v>
      </c>
      <c r="Q52" s="560">
        <f>+'F9'!P46</f>
        <v>5.1023999999999993E-2</v>
      </c>
      <c r="R52" s="560">
        <f>+'F9'!Q46</f>
        <v>0.01</v>
      </c>
      <c r="S52" s="560">
        <f>+'F9'!R46</f>
        <v>5.1023999999999993E-2</v>
      </c>
      <c r="T52" s="29"/>
    </row>
    <row r="53" spans="2:20">
      <c r="B53" s="92">
        <f t="shared" si="13"/>
        <v>16</v>
      </c>
      <c r="C53" s="235" t="s">
        <v>232</v>
      </c>
      <c r="D53" s="126"/>
      <c r="E53" s="1147">
        <v>0</v>
      </c>
      <c r="F53" s="1147">
        <v>0</v>
      </c>
      <c r="G53" s="1147">
        <v>0</v>
      </c>
      <c r="H53" s="1147">
        <v>0</v>
      </c>
      <c r="I53" s="1147">
        <v>0</v>
      </c>
      <c r="J53" s="1147">
        <v>0</v>
      </c>
      <c r="K53" s="1147">
        <v>0</v>
      </c>
      <c r="L53" s="1147">
        <v>0</v>
      </c>
      <c r="M53" s="1147">
        <v>0</v>
      </c>
      <c r="N53" s="1147">
        <v>0</v>
      </c>
      <c r="O53" s="1147">
        <v>0</v>
      </c>
      <c r="P53" s="1147">
        <v>0</v>
      </c>
      <c r="Q53" s="1147">
        <v>0</v>
      </c>
      <c r="R53" s="1147">
        <v>0</v>
      </c>
      <c r="S53" s="1147">
        <v>0</v>
      </c>
      <c r="T53" s="29"/>
    </row>
    <row r="54" spans="2:20">
      <c r="B54" s="92">
        <f t="shared" si="13"/>
        <v>17</v>
      </c>
      <c r="C54" s="235" t="s">
        <v>233</v>
      </c>
      <c r="D54" s="126" t="s">
        <v>162</v>
      </c>
      <c r="E54" s="1147">
        <v>0</v>
      </c>
      <c r="F54" s="1147">
        <v>0</v>
      </c>
      <c r="G54" s="1147">
        <v>0</v>
      </c>
      <c r="H54" s="1147">
        <v>0</v>
      </c>
      <c r="I54" s="1147">
        <v>0</v>
      </c>
      <c r="J54" s="1147">
        <v>0</v>
      </c>
      <c r="K54" s="1147">
        <v>0</v>
      </c>
      <c r="L54" s="1147">
        <v>0</v>
      </c>
      <c r="M54" s="1147">
        <v>0</v>
      </c>
      <c r="N54" s="1147">
        <v>0</v>
      </c>
      <c r="O54" s="1147">
        <v>0</v>
      </c>
      <c r="P54" s="1147">
        <v>0</v>
      </c>
      <c r="Q54" s="1147">
        <v>0</v>
      </c>
      <c r="R54" s="1147">
        <v>0</v>
      </c>
      <c r="S54" s="1147">
        <v>0</v>
      </c>
      <c r="T54" s="29"/>
    </row>
    <row r="55" spans="2:20">
      <c r="B55" s="92">
        <f t="shared" si="13"/>
        <v>18</v>
      </c>
      <c r="C55" s="235" t="s">
        <v>264</v>
      </c>
      <c r="D55" s="126" t="s">
        <v>162</v>
      </c>
      <c r="E55" s="1147">
        <v>0</v>
      </c>
      <c r="F55" s="1147">
        <v>0</v>
      </c>
      <c r="G55" s="1147">
        <v>0</v>
      </c>
      <c r="H55" s="1147">
        <v>0</v>
      </c>
      <c r="I55" s="1147">
        <v>0</v>
      </c>
      <c r="J55" s="1147">
        <v>0</v>
      </c>
      <c r="K55" s="1147">
        <v>0</v>
      </c>
      <c r="L55" s="1147">
        <v>0</v>
      </c>
      <c r="M55" s="1147">
        <v>0</v>
      </c>
      <c r="N55" s="1147">
        <v>0</v>
      </c>
      <c r="O55" s="1147">
        <v>0</v>
      </c>
      <c r="P55" s="1147">
        <v>0</v>
      </c>
      <c r="Q55" s="1147">
        <v>0</v>
      </c>
      <c r="R55" s="1147">
        <v>0</v>
      </c>
      <c r="S55" s="1147">
        <v>0</v>
      </c>
      <c r="T55" s="29"/>
    </row>
    <row r="56" spans="2:20">
      <c r="B56" s="92">
        <f t="shared" si="13"/>
        <v>19</v>
      </c>
      <c r="C56" s="285" t="s">
        <v>423</v>
      </c>
      <c r="D56" s="128"/>
      <c r="E56" s="875">
        <f>+E51-SUM(E52:E55)</f>
        <v>36.468176617135278</v>
      </c>
      <c r="F56" s="875">
        <f t="shared" ref="F56:S56" ca="1" si="29">+F51-SUM(F52:F55)</f>
        <v>38.115831315013281</v>
      </c>
      <c r="G56" s="875">
        <f t="shared" ca="1" si="29"/>
        <v>1.6476546978779991</v>
      </c>
      <c r="H56" s="875">
        <f t="shared" si="29"/>
        <v>44.967409331315118</v>
      </c>
      <c r="I56" s="875">
        <f ca="1">+I51-SUM(I52:I55)</f>
        <v>41.537624728315407</v>
      </c>
      <c r="J56" s="875">
        <f t="shared" ca="1" si="29"/>
        <v>-3.4297846029997165</v>
      </c>
      <c r="K56" s="875">
        <f t="shared" si="29"/>
        <v>51.632874000000008</v>
      </c>
      <c r="L56" s="875">
        <f t="shared" si="29"/>
        <v>3.2384021499999998</v>
      </c>
      <c r="M56" s="875">
        <f t="shared" si="29"/>
        <v>3.8653441688828161</v>
      </c>
      <c r="N56" s="875">
        <f t="shared" si="29"/>
        <v>41.258968870542809</v>
      </c>
      <c r="O56" s="875">
        <f t="shared" si="29"/>
        <v>-10.373905129457198</v>
      </c>
      <c r="P56" s="875">
        <f t="shared" si="29"/>
        <v>54.853307638923809</v>
      </c>
      <c r="Q56" s="875">
        <f t="shared" si="29"/>
        <v>49.823134457959782</v>
      </c>
      <c r="R56" s="875">
        <f t="shared" si="29"/>
        <v>57.465595683211752</v>
      </c>
      <c r="S56" s="875">
        <f t="shared" si="29"/>
        <v>51.466162525072058</v>
      </c>
      <c r="T56" s="29"/>
    </row>
    <row r="57" spans="2:20">
      <c r="B57" s="92">
        <f>+B56+1</f>
        <v>20</v>
      </c>
      <c r="C57" s="235" t="s">
        <v>1186</v>
      </c>
      <c r="D57" s="128"/>
      <c r="E57" s="954"/>
      <c r="F57" s="954"/>
      <c r="G57" s="954"/>
      <c r="H57" s="1147">
        <f>+('F20'!$D$61/4)-H27</f>
        <v>-2.4487881224229309</v>
      </c>
      <c r="I57" s="1147">
        <f>+H57</f>
        <v>-2.4487881224229309</v>
      </c>
      <c r="J57" s="560">
        <f t="shared" ref="J57" si="30">+I57-H57</f>
        <v>0</v>
      </c>
      <c r="K57" s="1147">
        <f>+('F20'!$D$61/4)-K27</f>
        <v>-2.5023827658759346</v>
      </c>
      <c r="L57" s="954"/>
      <c r="M57" s="954"/>
      <c r="N57" s="1147">
        <f>+K57</f>
        <v>-2.5023827658759346</v>
      </c>
      <c r="O57" s="1147">
        <f t="shared" ref="O57:O59" si="31">+N57-K57</f>
        <v>0</v>
      </c>
      <c r="P57" s="1147">
        <f>+('F20'!$D$61/4)-P27</f>
        <v>-2.5138027827454379</v>
      </c>
      <c r="Q57" s="1147">
        <f ca="1">-(('F20'!$D$61/4*2)-'F20'!$E$61)*Q$56/(Q$26+Q$56)</f>
        <v>-0.19431282088498059</v>
      </c>
      <c r="R57" s="1147">
        <f>+('F20'!$D$61/4)-R27</f>
        <v>-2.5303251300692828</v>
      </c>
      <c r="S57" s="1147">
        <f>+SUM(S73:S77)</f>
        <v>4.7980497625072758</v>
      </c>
      <c r="T57" s="29"/>
    </row>
    <row r="58" spans="2:20">
      <c r="B58" s="92">
        <f t="shared" ref="B58:B59" si="32">+B57+1</f>
        <v>21</v>
      </c>
      <c r="C58" s="235" t="s">
        <v>1183</v>
      </c>
      <c r="D58" s="128"/>
      <c r="E58" s="954"/>
      <c r="F58" s="954"/>
      <c r="G58" s="954"/>
      <c r="H58" s="1147"/>
      <c r="I58" s="1147">
        <v>0</v>
      </c>
      <c r="J58" s="560"/>
      <c r="K58" s="1147"/>
      <c r="L58" s="954"/>
      <c r="M58" s="954"/>
      <c r="N58" s="1147"/>
      <c r="O58" s="1147"/>
      <c r="P58" s="1147"/>
      <c r="Q58" s="1147"/>
      <c r="R58" s="1147"/>
      <c r="S58" s="1147"/>
      <c r="T58" s="29"/>
    </row>
    <row r="59" spans="2:20">
      <c r="B59" s="93">
        <f t="shared" si="32"/>
        <v>22</v>
      </c>
      <c r="C59" s="285" t="s">
        <v>1118</v>
      </c>
      <c r="D59" s="128"/>
      <c r="E59" s="875"/>
      <c r="F59" s="875"/>
      <c r="G59" s="875"/>
      <c r="H59" s="875">
        <f>+H56+H57</f>
        <v>42.518621208892185</v>
      </c>
      <c r="I59" s="875">
        <f ca="1">+I56+I57+I58</f>
        <v>39.088836605892475</v>
      </c>
      <c r="J59" s="875">
        <f ca="1">+J56+J57</f>
        <v>-3.4297846029997165</v>
      </c>
      <c r="K59" s="875">
        <f>+K56+K57</f>
        <v>49.130491234124072</v>
      </c>
      <c r="L59" s="875"/>
      <c r="M59" s="875"/>
      <c r="N59" s="875">
        <f>+N56+N57+N58</f>
        <v>38.756586104666873</v>
      </c>
      <c r="O59" s="1150">
        <f t="shared" si="31"/>
        <v>-10.373905129457199</v>
      </c>
      <c r="P59" s="875">
        <f>+P56+P57</f>
        <v>52.339504856178372</v>
      </c>
      <c r="Q59" s="875">
        <f ca="1">+Q56+Q57+Q58</f>
        <v>49.6288216370748</v>
      </c>
      <c r="R59" s="875">
        <f>+R56+R57</f>
        <v>54.935270553142473</v>
      </c>
      <c r="S59" s="875">
        <f>+S56+S57+S58</f>
        <v>56.264212287579333</v>
      </c>
      <c r="T59" s="29"/>
    </row>
    <row r="60" spans="2:20">
      <c r="B60" s="18" t="s">
        <v>745</v>
      </c>
      <c r="C60" s="18" t="s">
        <v>747</v>
      </c>
      <c r="Q60" s="1023"/>
    </row>
    <row r="65" spans="2:20">
      <c r="C65" s="1028" t="s">
        <v>1126</v>
      </c>
    </row>
    <row r="66" spans="2:20">
      <c r="S66" s="26" t="s">
        <v>16</v>
      </c>
    </row>
    <row r="67" spans="2:20">
      <c r="B67" s="1365" t="s">
        <v>157</v>
      </c>
      <c r="C67" s="1365" t="s">
        <v>49</v>
      </c>
      <c r="D67" s="1365"/>
      <c r="E67" s="1360" t="s">
        <v>670</v>
      </c>
      <c r="F67" s="1361"/>
      <c r="G67" s="1362"/>
      <c r="H67" s="1360" t="s">
        <v>146</v>
      </c>
      <c r="I67" s="1361"/>
      <c r="J67" s="1362"/>
      <c r="K67" s="1360" t="s">
        <v>147</v>
      </c>
      <c r="L67" s="1361"/>
      <c r="M67" s="1361"/>
      <c r="N67" s="1361"/>
      <c r="O67" s="1362"/>
      <c r="P67" s="1360" t="s">
        <v>148</v>
      </c>
      <c r="Q67" s="1362"/>
      <c r="R67" s="1363" t="s">
        <v>149</v>
      </c>
      <c r="S67" s="1363"/>
      <c r="T67" s="1363" t="s">
        <v>42</v>
      </c>
    </row>
    <row r="68" spans="2:20" ht="28.5">
      <c r="B68" s="1365"/>
      <c r="C68" s="1365"/>
      <c r="D68" s="1365"/>
      <c r="E68" s="1027" t="s">
        <v>413</v>
      </c>
      <c r="F68" s="1027" t="s">
        <v>414</v>
      </c>
      <c r="G68" s="1027" t="s">
        <v>415</v>
      </c>
      <c r="H68" s="1027" t="s">
        <v>413</v>
      </c>
      <c r="I68" s="1027" t="s">
        <v>414</v>
      </c>
      <c r="J68" s="1027" t="s">
        <v>415</v>
      </c>
      <c r="K68" s="1027" t="s">
        <v>413</v>
      </c>
      <c r="L68" s="1218" t="s">
        <v>416</v>
      </c>
      <c r="M68" s="1218" t="s">
        <v>1314</v>
      </c>
      <c r="N68" s="1218" t="s">
        <v>1315</v>
      </c>
      <c r="O68" s="1027" t="s">
        <v>417</v>
      </c>
      <c r="P68" s="1027" t="s">
        <v>413</v>
      </c>
      <c r="Q68" s="1027" t="s">
        <v>671</v>
      </c>
      <c r="R68" s="1027" t="s">
        <v>413</v>
      </c>
      <c r="S68" s="1027" t="s">
        <v>671</v>
      </c>
      <c r="T68" s="1363"/>
    </row>
    <row r="69" spans="2:20">
      <c r="B69" s="1366"/>
      <c r="C69" s="1366"/>
      <c r="D69" s="1366"/>
      <c r="E69" s="927" t="s">
        <v>72</v>
      </c>
      <c r="F69" s="927" t="s">
        <v>73</v>
      </c>
      <c r="G69" s="927" t="s">
        <v>705</v>
      </c>
      <c r="H69" s="927" t="s">
        <v>419</v>
      </c>
      <c r="I69" s="927" t="s">
        <v>420</v>
      </c>
      <c r="J69" s="927" t="s">
        <v>706</v>
      </c>
      <c r="K69" s="927" t="s">
        <v>676</v>
      </c>
      <c r="L69" s="927" t="s">
        <v>593</v>
      </c>
      <c r="M69" s="927" t="s">
        <v>677</v>
      </c>
      <c r="N69" s="927" t="s">
        <v>707</v>
      </c>
      <c r="O69" s="927" t="s">
        <v>708</v>
      </c>
      <c r="P69" s="927" t="s">
        <v>709</v>
      </c>
      <c r="Q69" s="927" t="s">
        <v>596</v>
      </c>
      <c r="R69" s="927" t="s">
        <v>710</v>
      </c>
      <c r="S69" s="927" t="s">
        <v>711</v>
      </c>
      <c r="T69" s="1364"/>
    </row>
    <row r="70" spans="2:20">
      <c r="B70" s="92">
        <v>1</v>
      </c>
      <c r="C70" s="235" t="s">
        <v>1121</v>
      </c>
      <c r="D70" s="128"/>
      <c r="E70" s="690">
        <f>+E26</f>
        <v>10.239030731835518</v>
      </c>
      <c r="F70" s="690">
        <f ca="1">+F26</f>
        <v>13.765899793733603</v>
      </c>
      <c r="G70" s="690">
        <f ca="1">+F70-E70</f>
        <v>3.5268690618980845</v>
      </c>
      <c r="H70" s="690">
        <f>+H26</f>
        <v>10.547965000000001</v>
      </c>
      <c r="I70" s="690">
        <f ca="1">+I26</f>
        <v>12.281972692531369</v>
      </c>
      <c r="J70" s="29"/>
      <c r="K70" s="690">
        <f>+K26</f>
        <v>10.746236</v>
      </c>
      <c r="L70" s="29"/>
      <c r="M70" s="29"/>
      <c r="N70" s="690">
        <f>+N26</f>
        <v>12.503438004428588</v>
      </c>
      <c r="O70" s="29"/>
      <c r="P70" s="690">
        <f>+P26</f>
        <v>11.115439</v>
      </c>
      <c r="Q70" s="690">
        <f>+Q26</f>
        <v>12.475879405516919</v>
      </c>
      <c r="R70" s="690">
        <f>+R26</f>
        <v>11.193519</v>
      </c>
      <c r="S70" s="690">
        <f>+S26</f>
        <v>12.84888282151983</v>
      </c>
      <c r="T70" s="29"/>
    </row>
    <row r="71" spans="2:20">
      <c r="B71" s="92">
        <f>+B70+1</f>
        <v>2</v>
      </c>
      <c r="C71" s="1222" t="s">
        <v>1122</v>
      </c>
      <c r="D71" s="128"/>
      <c r="E71" s="1148">
        <f>+E56</f>
        <v>36.468176617135278</v>
      </c>
      <c r="F71" s="1148">
        <f ca="1">+F56</f>
        <v>38.115831315013281</v>
      </c>
      <c r="G71" s="1148">
        <f t="shared" ref="G71:G77" ca="1" si="33">+F71-E71</f>
        <v>1.6476546978780036</v>
      </c>
      <c r="H71" s="1148">
        <f>+H56</f>
        <v>44.967409331315118</v>
      </c>
      <c r="I71" s="1148">
        <f ca="1">+I56</f>
        <v>41.537624728315407</v>
      </c>
      <c r="J71" s="105"/>
      <c r="K71" s="1148">
        <f>+K56</f>
        <v>51.632874000000008</v>
      </c>
      <c r="L71" s="105"/>
      <c r="M71" s="105"/>
      <c r="N71" s="1148">
        <f>+N56</f>
        <v>41.258968870542809</v>
      </c>
      <c r="O71" s="105"/>
      <c r="P71" s="1148">
        <f>+P56</f>
        <v>54.853307638923809</v>
      </c>
      <c r="Q71" s="1148">
        <f>+Q56</f>
        <v>49.823134457959782</v>
      </c>
      <c r="R71" s="1148">
        <f>+R56</f>
        <v>57.465595683211752</v>
      </c>
      <c r="S71" s="1148">
        <f>+S56</f>
        <v>51.466162525072058</v>
      </c>
      <c r="T71" s="29"/>
    </row>
    <row r="72" spans="2:20" s="27" customFormat="1">
      <c r="B72" s="93">
        <f>+B71+1</f>
        <v>3</v>
      </c>
      <c r="C72" s="285" t="s">
        <v>1127</v>
      </c>
      <c r="D72" s="128"/>
      <c r="E72" s="1087">
        <f>+E70+E71</f>
        <v>46.707207348970798</v>
      </c>
      <c r="F72" s="1087">
        <f ca="1">+F70+F71</f>
        <v>51.881731108746884</v>
      </c>
      <c r="G72" s="1087">
        <f t="shared" ca="1" si="33"/>
        <v>5.1745237597760863</v>
      </c>
      <c r="H72" s="1087">
        <f t="shared" ref="H72:K72" si="34">+H70+H71</f>
        <v>55.515374331315115</v>
      </c>
      <c r="I72" s="1087">
        <f ca="1">+I70+I71</f>
        <v>53.819597420846776</v>
      </c>
      <c r="J72" s="248"/>
      <c r="K72" s="1087">
        <f t="shared" si="34"/>
        <v>62.379110000000011</v>
      </c>
      <c r="L72" s="248"/>
      <c r="M72" s="248"/>
      <c r="N72" s="1087">
        <f t="shared" ref="N72" si="35">+N70+N71</f>
        <v>53.762406874971397</v>
      </c>
      <c r="O72" s="248"/>
      <c r="P72" s="1087">
        <f t="shared" ref="P72:Q72" si="36">+P70+P71</f>
        <v>65.968746638923804</v>
      </c>
      <c r="Q72" s="1087">
        <f t="shared" si="36"/>
        <v>62.299013863476702</v>
      </c>
      <c r="R72" s="1087">
        <f t="shared" ref="R72:S72" si="37">+R70+R71</f>
        <v>68.659114683211754</v>
      </c>
      <c r="S72" s="1087">
        <f t="shared" si="37"/>
        <v>64.315045346591887</v>
      </c>
      <c r="T72" s="32"/>
    </row>
    <row r="73" spans="2:20">
      <c r="B73" s="92">
        <f>+B72+1</f>
        <v>4</v>
      </c>
      <c r="C73" s="235" t="s">
        <v>1207</v>
      </c>
      <c r="D73" s="128"/>
      <c r="E73" s="1148">
        <v>0</v>
      </c>
      <c r="F73" s="1148">
        <v>0</v>
      </c>
      <c r="G73" s="1148">
        <f t="shared" si="33"/>
        <v>0</v>
      </c>
      <c r="H73" s="560">
        <f>+$E$80/4</f>
        <v>-3.0231981627572999</v>
      </c>
      <c r="I73" s="560">
        <f>+I57+I27</f>
        <v>-3.0231981627572999</v>
      </c>
      <c r="J73" s="560">
        <f t="shared" ref="J73:J77" si="38">+I73-H73</f>
        <v>0</v>
      </c>
      <c r="K73" s="560">
        <f>+$E$80/4</f>
        <v>-3.0231981627572999</v>
      </c>
      <c r="L73" s="560"/>
      <c r="M73" s="560"/>
      <c r="N73" s="560">
        <f>+N57+N27</f>
        <v>-3.0231981627572999</v>
      </c>
      <c r="O73" s="560"/>
      <c r="P73" s="560">
        <f>+$E$80/4</f>
        <v>-3.0231981627572999</v>
      </c>
      <c r="Q73" s="560">
        <f ca="1">+I102</f>
        <v>-0.24296940073850948</v>
      </c>
      <c r="R73" s="560">
        <f>+$E$80/4</f>
        <v>-3.0231981627572999</v>
      </c>
      <c r="S73" s="560">
        <v>0</v>
      </c>
      <c r="T73" s="29"/>
    </row>
    <row r="74" spans="2:20">
      <c r="B74" s="92">
        <f t="shared" ref="B74:B80" si="39">+B73+1</f>
        <v>5</v>
      </c>
      <c r="C74" s="235" t="s">
        <v>1203</v>
      </c>
      <c r="D74" s="128"/>
      <c r="E74" s="1148">
        <v>0</v>
      </c>
      <c r="F74" s="1148">
        <v>0</v>
      </c>
      <c r="G74" s="1148">
        <f t="shared" si="33"/>
        <v>0</v>
      </c>
      <c r="H74" s="643">
        <v>0</v>
      </c>
      <c r="I74" s="643"/>
      <c r="J74" s="1148">
        <f t="shared" si="38"/>
        <v>0</v>
      </c>
      <c r="K74" s="643">
        <v>0</v>
      </c>
      <c r="L74" s="105"/>
      <c r="M74" s="105"/>
      <c r="N74" s="643">
        <v>0</v>
      </c>
      <c r="O74" s="1148">
        <f t="shared" ref="O74:O77" si="40">+N74-M74</f>
        <v>0</v>
      </c>
      <c r="P74" s="643">
        <v>0</v>
      </c>
      <c r="Q74" s="643">
        <f ca="1">+SUM(F106:I106)</f>
        <v>-1.1471168837910419</v>
      </c>
      <c r="R74" s="643">
        <v>0</v>
      </c>
      <c r="S74" s="643">
        <v>0</v>
      </c>
      <c r="T74" s="29"/>
    </row>
    <row r="75" spans="2:20">
      <c r="B75" s="92">
        <f t="shared" si="39"/>
        <v>6</v>
      </c>
      <c r="C75" s="235" t="s">
        <v>1206</v>
      </c>
      <c r="D75" s="128"/>
      <c r="E75" s="1148">
        <v>0</v>
      </c>
      <c r="F75" s="1148">
        <v>0</v>
      </c>
      <c r="G75" s="1148">
        <f t="shared" si="33"/>
        <v>0</v>
      </c>
      <c r="H75" s="643">
        <v>0</v>
      </c>
      <c r="I75" s="643"/>
      <c r="J75" s="1148">
        <f t="shared" si="38"/>
        <v>0</v>
      </c>
      <c r="K75" s="643">
        <v>0</v>
      </c>
      <c r="L75" s="105"/>
      <c r="M75" s="105"/>
      <c r="N75" s="643">
        <v>0</v>
      </c>
      <c r="O75" s="1148">
        <f t="shared" si="40"/>
        <v>0</v>
      </c>
      <c r="P75" s="643">
        <v>0</v>
      </c>
      <c r="Q75" s="643">
        <f ca="1">+I115</f>
        <v>-2.1645477505505113</v>
      </c>
      <c r="R75" s="643">
        <v>0</v>
      </c>
      <c r="S75" s="643">
        <v>0</v>
      </c>
      <c r="T75" s="29"/>
    </row>
    <row r="76" spans="2:20">
      <c r="B76" s="92">
        <f t="shared" si="39"/>
        <v>7</v>
      </c>
      <c r="C76" s="235" t="s">
        <v>1204</v>
      </c>
      <c r="D76" s="128"/>
      <c r="E76" s="1148">
        <v>0</v>
      </c>
      <c r="F76" s="1148">
        <v>0</v>
      </c>
      <c r="G76" s="1148">
        <f t="shared" si="33"/>
        <v>0</v>
      </c>
      <c r="H76" s="643">
        <v>0</v>
      </c>
      <c r="I76" s="643"/>
      <c r="J76" s="1148">
        <f t="shared" si="38"/>
        <v>0</v>
      </c>
      <c r="K76" s="643">
        <v>0</v>
      </c>
      <c r="L76" s="105"/>
      <c r="M76" s="105"/>
      <c r="N76" s="643">
        <v>0</v>
      </c>
      <c r="O76" s="1148">
        <f t="shared" si="40"/>
        <v>0</v>
      </c>
      <c r="P76" s="643">
        <v>0</v>
      </c>
      <c r="Q76" s="643">
        <f ca="1">+SUM(G119:I119)</f>
        <v>-0.43910989714155424</v>
      </c>
      <c r="R76" s="643">
        <v>0</v>
      </c>
      <c r="S76" s="643">
        <v>0</v>
      </c>
      <c r="T76" s="29"/>
    </row>
    <row r="77" spans="2:20">
      <c r="B77" s="92">
        <f t="shared" si="39"/>
        <v>8</v>
      </c>
      <c r="C77" s="235" t="s">
        <v>1205</v>
      </c>
      <c r="D77" s="128"/>
      <c r="E77" s="1148">
        <v>0</v>
      </c>
      <c r="F77" s="1148">
        <v>0</v>
      </c>
      <c r="G77" s="1148">
        <f t="shared" si="33"/>
        <v>0</v>
      </c>
      <c r="H77" s="643">
        <v>0</v>
      </c>
      <c r="I77" s="643"/>
      <c r="J77" s="1148">
        <f t="shared" si="38"/>
        <v>0</v>
      </c>
      <c r="K77" s="643">
        <v>0</v>
      </c>
      <c r="L77" s="105"/>
      <c r="M77" s="105"/>
      <c r="N77" s="643">
        <v>0</v>
      </c>
      <c r="O77" s="1148">
        <f t="shared" si="40"/>
        <v>0</v>
      </c>
      <c r="P77" s="643">
        <v>0</v>
      </c>
      <c r="Q77" s="643">
        <f>+N80*20%</f>
        <v>1.1995124406268189</v>
      </c>
      <c r="R77" s="643">
        <v>0</v>
      </c>
      <c r="S77" s="643">
        <f>+N80-Q77</f>
        <v>4.7980497625072758</v>
      </c>
      <c r="T77" s="29"/>
    </row>
    <row r="78" spans="2:20" s="27" customFormat="1">
      <c r="B78" s="93">
        <f t="shared" si="39"/>
        <v>9</v>
      </c>
      <c r="C78" s="285" t="s">
        <v>80</v>
      </c>
      <c r="D78" s="128"/>
      <c r="E78" s="1087">
        <f>+SUM(E72:E77)</f>
        <v>46.707207348970798</v>
      </c>
      <c r="F78" s="1087">
        <f ca="1">+SUM(F72:F77)</f>
        <v>51.881731108746884</v>
      </c>
      <c r="G78" s="1087">
        <f ca="1">+SUM(G72:G77)</f>
        <v>5.1745237597760863</v>
      </c>
      <c r="H78" s="1087">
        <f>+SUM(H72:H77)</f>
        <v>52.492176168557819</v>
      </c>
      <c r="I78" s="1087">
        <f ca="1">+SUM(I72:I77)</f>
        <v>50.79639925808948</v>
      </c>
      <c r="J78" s="248"/>
      <c r="K78" s="1087">
        <f>+SUM(K72:K77)</f>
        <v>59.355911837242715</v>
      </c>
      <c r="L78" s="1087">
        <f>+L72+L73</f>
        <v>0</v>
      </c>
      <c r="M78" s="1087">
        <f>+M72+M73</f>
        <v>0</v>
      </c>
      <c r="N78" s="1087">
        <f>+SUM(N72:N77)</f>
        <v>50.739208712214094</v>
      </c>
      <c r="O78" s="248"/>
      <c r="P78" s="1087">
        <f>+SUM(P72:P77)</f>
        <v>62.945548476166508</v>
      </c>
      <c r="Q78" s="1087">
        <f ca="1">+SUM(Q72:Q77)</f>
        <v>59.504782371881902</v>
      </c>
      <c r="R78" s="1087">
        <f>+SUM(R72:R77)</f>
        <v>65.635916520454458</v>
      </c>
      <c r="S78" s="1087">
        <f>+SUM(S72:S77)</f>
        <v>69.113095109099163</v>
      </c>
      <c r="T78" s="32"/>
    </row>
    <row r="79" spans="2:20">
      <c r="B79" s="92">
        <f t="shared" si="39"/>
        <v>10</v>
      </c>
      <c r="C79" s="235" t="s">
        <v>1123</v>
      </c>
      <c r="D79" s="128"/>
      <c r="E79" s="1148">
        <f>+'F20'!D59</f>
        <v>58.8</v>
      </c>
      <c r="F79" s="1148">
        <f>+'F20'!E59</f>
        <v>58.171096834999993</v>
      </c>
      <c r="G79" s="643">
        <f>+F79-E79</f>
        <v>-0.62890316500000409</v>
      </c>
      <c r="H79" s="1148">
        <f>73.31*0+52.53</f>
        <v>52.53</v>
      </c>
      <c r="I79" s="1148">
        <f>+'F20'!E123</f>
        <v>52.960947008639991</v>
      </c>
      <c r="J79" s="105"/>
      <c r="K79" s="105">
        <f>82.63*0+59.4</f>
        <v>59.4</v>
      </c>
      <c r="L79" s="105"/>
      <c r="M79" s="105"/>
      <c r="N79" s="1148">
        <f>+'F13.1'!W22</f>
        <v>44.741646509079999</v>
      </c>
      <c r="O79" s="105"/>
      <c r="P79" s="105">
        <f>86.06*0+62.96</f>
        <v>62.96</v>
      </c>
      <c r="Q79" s="1148">
        <f>+'F13.2'!W46</f>
        <v>52.56714968791389</v>
      </c>
      <c r="R79" s="105">
        <f>88.56*0+65.63</f>
        <v>65.63</v>
      </c>
      <c r="S79" s="1148">
        <f>+'F13.3'!W46</f>
        <v>54.420187093260552</v>
      </c>
      <c r="T79" s="29"/>
    </row>
    <row r="80" spans="2:20" s="27" customFormat="1">
      <c r="B80" s="93">
        <f t="shared" si="39"/>
        <v>11</v>
      </c>
      <c r="C80" s="285" t="s">
        <v>1185</v>
      </c>
      <c r="D80" s="128"/>
      <c r="E80" s="845">
        <f>+E78-E79</f>
        <v>-12.0927926510292</v>
      </c>
      <c r="F80" s="845">
        <f ca="1">+F78-F79</f>
        <v>-6.2893657262531093</v>
      </c>
      <c r="G80" s="845">
        <f ca="1">+G72-G79</f>
        <v>5.8034269247760903</v>
      </c>
      <c r="H80" s="845">
        <f>+H78-H79</f>
        <v>-3.7823831442182154E-2</v>
      </c>
      <c r="I80" s="845">
        <f ca="1">+I78-I79</f>
        <v>-2.1645477505505113</v>
      </c>
      <c r="J80" s="248"/>
      <c r="K80" s="845">
        <f>+K78-K79</f>
        <v>-4.4088162757283555E-2</v>
      </c>
      <c r="L80" s="845">
        <f>+L72-L79</f>
        <v>0</v>
      </c>
      <c r="M80" s="845">
        <f>+M72-M79</f>
        <v>0</v>
      </c>
      <c r="N80" s="845">
        <f>+N78-N79</f>
        <v>5.9975622031340947</v>
      </c>
      <c r="O80" s="248"/>
      <c r="P80" s="845">
        <f>+P78-P79</f>
        <v>-1.4451523833493241E-2</v>
      </c>
      <c r="Q80" s="845">
        <f ca="1">+Q78-Q79</f>
        <v>6.9376326839680118</v>
      </c>
      <c r="R80" s="845">
        <f t="shared" ref="R80" si="41">+R78-R79</f>
        <v>5.9165204544626704E-3</v>
      </c>
      <c r="S80" s="845">
        <f>+S78-S79</f>
        <v>14.692908015838611</v>
      </c>
      <c r="T80" s="32"/>
    </row>
    <row r="81" spans="2:20">
      <c r="B81" s="93"/>
      <c r="C81" s="285"/>
      <c r="D81" s="128"/>
      <c r="E81" s="105"/>
      <c r="F81" s="105"/>
      <c r="G81" s="105"/>
      <c r="H81" s="105"/>
      <c r="I81" s="105"/>
      <c r="J81" s="105"/>
      <c r="K81" s="105"/>
      <c r="L81" s="105"/>
      <c r="M81" s="105"/>
      <c r="N81" s="105"/>
      <c r="O81" s="105"/>
      <c r="P81" s="105"/>
      <c r="Q81" s="105"/>
      <c r="R81" s="105"/>
      <c r="S81" s="105"/>
      <c r="T81" s="29"/>
    </row>
    <row r="82" spans="2:20">
      <c r="B82" s="93"/>
      <c r="C82" s="285" t="s">
        <v>325</v>
      </c>
      <c r="D82" s="128"/>
      <c r="E82" s="105"/>
      <c r="F82" s="105"/>
      <c r="G82" s="105"/>
      <c r="H82" s="1087">
        <f>+H29</f>
        <v>9.9735549596656323</v>
      </c>
      <c r="I82" s="1087">
        <f ca="1">+I29</f>
        <v>11.707562652197</v>
      </c>
      <c r="J82" s="105"/>
      <c r="K82" s="1087">
        <f>+K29</f>
        <v>10.225420603118634</v>
      </c>
      <c r="L82" s="105"/>
      <c r="M82" s="105"/>
      <c r="N82" s="1087">
        <f>+N29</f>
        <v>11.982622607547222</v>
      </c>
      <c r="O82" s="105"/>
      <c r="P82" s="1087">
        <f>+P29</f>
        <v>10.606043619988139</v>
      </c>
      <c r="Q82" s="1087">
        <f ca="1">+Q29</f>
        <v>12.427222825663391</v>
      </c>
      <c r="R82" s="1087">
        <f>+R29</f>
        <v>10.700645967311983</v>
      </c>
      <c r="S82" s="1087">
        <f>+S29</f>
        <v>12.84888282151983</v>
      </c>
      <c r="T82" s="29"/>
    </row>
    <row r="83" spans="2:20">
      <c r="B83" s="93"/>
      <c r="C83" s="285" t="s">
        <v>258</v>
      </c>
      <c r="D83" s="128"/>
      <c r="E83" s="105"/>
      <c r="F83" s="105"/>
      <c r="G83" s="105"/>
      <c r="H83" s="1087">
        <f>+H59</f>
        <v>42.518621208892185</v>
      </c>
      <c r="I83" s="1087">
        <f ca="1">+I59</f>
        <v>39.088836605892475</v>
      </c>
      <c r="J83" s="105"/>
      <c r="K83" s="1087">
        <f>+K59</f>
        <v>49.130491234124072</v>
      </c>
      <c r="L83" s="105"/>
      <c r="M83" s="105"/>
      <c r="N83" s="1087">
        <f>+N59</f>
        <v>38.756586104666873</v>
      </c>
      <c r="O83" s="105"/>
      <c r="P83" s="1087">
        <f>+P59</f>
        <v>52.339504856178372</v>
      </c>
      <c r="Q83" s="1087">
        <f ca="1">+Q59</f>
        <v>49.6288216370748</v>
      </c>
      <c r="R83" s="1087">
        <f>+R59</f>
        <v>54.935270553142473</v>
      </c>
      <c r="S83" s="1087">
        <f>+S59</f>
        <v>56.264212287579333</v>
      </c>
      <c r="T83" s="29"/>
    </row>
    <row r="84" spans="2:20">
      <c r="B84" s="93"/>
      <c r="C84" s="285" t="s">
        <v>845</v>
      </c>
      <c r="D84" s="128"/>
      <c r="E84" s="105"/>
      <c r="F84" s="105"/>
      <c r="G84" s="105"/>
      <c r="H84" s="1087">
        <f>+H82+H83</f>
        <v>52.492176168557819</v>
      </c>
      <c r="I84" s="1087">
        <f ca="1">+I82+I83</f>
        <v>50.796399258089473</v>
      </c>
      <c r="J84" s="105"/>
      <c r="K84" s="1087">
        <f>+K82+K83</f>
        <v>59.355911837242708</v>
      </c>
      <c r="L84" s="105"/>
      <c r="M84" s="105"/>
      <c r="N84" s="1087">
        <f>+N82+N83</f>
        <v>50.739208712214094</v>
      </c>
      <c r="O84" s="105"/>
      <c r="P84" s="1087">
        <f>+P82+P83</f>
        <v>62.945548476166508</v>
      </c>
      <c r="Q84" s="1087">
        <f ca="1">+Q82+Q83</f>
        <v>62.056044462738193</v>
      </c>
      <c r="R84" s="1087">
        <f>+R82+R83</f>
        <v>65.635916520454458</v>
      </c>
      <c r="S84" s="1087">
        <f>+S82+S83</f>
        <v>69.113095109099163</v>
      </c>
      <c r="T84" s="29"/>
    </row>
    <row r="85" spans="2:20">
      <c r="B85" s="93"/>
      <c r="C85" s="285"/>
      <c r="D85" s="128"/>
      <c r="E85" s="105"/>
      <c r="F85" s="105"/>
      <c r="G85" s="105"/>
      <c r="H85" s="105"/>
      <c r="I85" s="105"/>
      <c r="J85" s="105"/>
      <c r="K85" s="105"/>
      <c r="L85" s="105"/>
      <c r="M85" s="105"/>
      <c r="N85" s="105"/>
      <c r="O85" s="105"/>
      <c r="P85" s="105"/>
      <c r="Q85" s="105"/>
      <c r="R85" s="105"/>
      <c r="S85" s="105"/>
      <c r="T85" s="29"/>
    </row>
    <row r="86" spans="2:20">
      <c r="B86" s="93"/>
      <c r="C86" s="1275" t="s">
        <v>301</v>
      </c>
      <c r="D86" s="128"/>
      <c r="E86" s="105"/>
      <c r="F86" s="105"/>
      <c r="G86" s="105"/>
      <c r="H86" s="550">
        <f>+'F1'!C45</f>
        <v>94.194879661618174</v>
      </c>
      <c r="I86" s="550">
        <f>+'F1'!D45</f>
        <v>82.883218740000004</v>
      </c>
      <c r="J86" s="105"/>
      <c r="K86" s="550">
        <f>+'F1'!F45</f>
        <v>107.09956362350708</v>
      </c>
      <c r="L86" s="550">
        <f>+'F1'!G45</f>
        <v>43.96602189</v>
      </c>
      <c r="M86" s="550">
        <f>+'F1'!H45</f>
        <v>39.441210050000002</v>
      </c>
      <c r="N86" s="550">
        <f>+'F1'!I45</f>
        <v>83.407231940000003</v>
      </c>
      <c r="O86" s="105"/>
      <c r="P86" s="550">
        <f>+'F1'!K45</f>
        <v>112.37055925974215</v>
      </c>
      <c r="Q86" s="550">
        <f>+'F1'!L45</f>
        <v>92.841304259400019</v>
      </c>
      <c r="R86" s="550">
        <f>+'F1'!M45</f>
        <v>117.5108790618105</v>
      </c>
      <c r="S86" s="550">
        <f>+'F1'!N45</f>
        <v>94.719717301993995</v>
      </c>
      <c r="T86" s="29"/>
    </row>
    <row r="87" spans="2:20">
      <c r="B87" s="92"/>
      <c r="C87" s="235" t="s">
        <v>1124</v>
      </c>
      <c r="D87" s="128"/>
      <c r="E87" s="105"/>
      <c r="F87" s="105"/>
      <c r="G87" s="105"/>
      <c r="H87" s="550">
        <f>H82*10/H86</f>
        <v>1.0588213494718846</v>
      </c>
      <c r="I87" s="550">
        <f ca="1">I82*10/I86</f>
        <v>1.4125371613429933</v>
      </c>
      <c r="J87" s="105"/>
      <c r="K87" s="550">
        <f>K82*10/K86</f>
        <v>0.95475838156209591</v>
      </c>
      <c r="L87" s="105"/>
      <c r="M87" s="105"/>
      <c r="N87" s="550">
        <f>N82*10/N86</f>
        <v>1.4366407239323162</v>
      </c>
      <c r="O87" s="105"/>
      <c r="P87" s="550">
        <f>P82*10/P86</f>
        <v>0.94384540664895111</v>
      </c>
      <c r="Q87" s="550">
        <f ca="1">Q82*10/Q86</f>
        <v>1.3385446192075825</v>
      </c>
      <c r="R87" s="550">
        <f>R82*10/R86</f>
        <v>0.9106089625696242</v>
      </c>
      <c r="S87" s="550">
        <f>S82*10/S86</f>
        <v>1.3565161708151909</v>
      </c>
      <c r="T87" s="29"/>
    </row>
    <row r="88" spans="2:20">
      <c r="B88" s="92"/>
      <c r="C88" s="235" t="s">
        <v>1128</v>
      </c>
      <c r="D88" s="128"/>
      <c r="E88" s="105"/>
      <c r="F88" s="105"/>
      <c r="G88" s="105"/>
      <c r="H88" s="550">
        <f>+H83*10/H86</f>
        <v>4.5138994138146717</v>
      </c>
      <c r="I88" s="550">
        <f ca="1">+I83*10/I86</f>
        <v>4.7161340015657398</v>
      </c>
      <c r="J88" s="105"/>
      <c r="K88" s="550">
        <f>+K83*10/K86</f>
        <v>4.5873661452846957</v>
      </c>
      <c r="L88" s="105"/>
      <c r="M88" s="105"/>
      <c r="N88" s="550">
        <f>+N83*10/N86</f>
        <v>4.6466697435237858</v>
      </c>
      <c r="O88" s="105"/>
      <c r="P88" s="550">
        <f>+P83*10/P86</f>
        <v>4.657759576972178</v>
      </c>
      <c r="Q88" s="550">
        <f ca="1">+Q83*10/Q86</f>
        <v>5.3455541187154285</v>
      </c>
      <c r="R88" s="550">
        <f>+R83*10/R86</f>
        <v>4.6749093353515487</v>
      </c>
      <c r="S88" s="550">
        <f>+S83*10/S86</f>
        <v>5.9400739244388436</v>
      </c>
      <c r="T88" s="29"/>
    </row>
    <row r="89" spans="2:20">
      <c r="B89" s="92"/>
      <c r="C89" s="235" t="s">
        <v>1125</v>
      </c>
      <c r="D89" s="128"/>
      <c r="E89" s="105"/>
      <c r="F89" s="105"/>
      <c r="G89" s="105"/>
      <c r="H89" s="550">
        <f>+H84*10/H86</f>
        <v>5.572720763286557</v>
      </c>
      <c r="I89" s="550">
        <f ca="1">+I84*10/I86</f>
        <v>6.1286711629087334</v>
      </c>
      <c r="J89" s="105"/>
      <c r="K89" s="550">
        <f>+K84*10/K86</f>
        <v>5.5421245268467922</v>
      </c>
      <c r="L89" s="105"/>
      <c r="M89" s="105"/>
      <c r="N89" s="550">
        <f>+N84*10/N86</f>
        <v>6.0833104674561023</v>
      </c>
      <c r="O89" s="105"/>
      <c r="P89" s="550">
        <f>+P84*10/P86</f>
        <v>5.6016049836211295</v>
      </c>
      <c r="Q89" s="551">
        <f ca="1">+Q84*10/Q86</f>
        <v>6.6840987379230112</v>
      </c>
      <c r="R89" s="550">
        <f>+R84*10/R86</f>
        <v>5.5855182979211726</v>
      </c>
      <c r="S89" s="551">
        <f>+S84*10/S86</f>
        <v>7.296590095254035</v>
      </c>
      <c r="T89" s="29"/>
    </row>
    <row r="90" spans="2:20">
      <c r="B90" s="92"/>
      <c r="C90" s="235"/>
      <c r="D90" s="128"/>
      <c r="E90" s="105"/>
      <c r="F90" s="105"/>
      <c r="G90" s="105"/>
      <c r="H90" s="105"/>
      <c r="I90" s="105"/>
      <c r="J90" s="105"/>
      <c r="K90" s="105"/>
      <c r="L90" s="105"/>
      <c r="M90" s="105"/>
      <c r="N90" s="105"/>
      <c r="O90" s="105"/>
      <c r="P90" s="105"/>
      <c r="Q90" s="105"/>
      <c r="R90" s="105"/>
      <c r="S90" s="105"/>
      <c r="T90" s="29"/>
    </row>
    <row r="91" spans="2:20">
      <c r="B91" s="92"/>
      <c r="C91" s="235" t="s">
        <v>1129</v>
      </c>
      <c r="D91" s="128"/>
      <c r="E91" s="105"/>
      <c r="F91" s="105"/>
      <c r="G91" s="105"/>
      <c r="H91" s="105"/>
      <c r="I91" s="105"/>
      <c r="J91" s="105"/>
      <c r="K91" s="105"/>
      <c r="L91" s="105"/>
      <c r="M91" s="105"/>
      <c r="N91" s="105"/>
      <c r="O91" s="105"/>
      <c r="P91" s="105"/>
      <c r="Q91" s="1151">
        <f ca="1">+Q84/Q79-1</f>
        <v>0.1805099730755606</v>
      </c>
      <c r="R91" s="105"/>
      <c r="S91" s="1151">
        <f>+S84/S79-1</f>
        <v>0.26999003128488308</v>
      </c>
      <c r="T91" s="29"/>
    </row>
    <row r="92" spans="2:20">
      <c r="P92" s="696"/>
      <c r="Q92" s="1064"/>
      <c r="R92" s="1064"/>
      <c r="S92" s="1064"/>
      <c r="T92" s="1064"/>
    </row>
    <row r="93" spans="2:20">
      <c r="P93" s="696">
        <f>+Q79/Q86*10</f>
        <v>5.6620434306955092</v>
      </c>
      <c r="Q93" s="459">
        <f ca="1">+Q89/P93-1</f>
        <v>0.18050997307556083</v>
      </c>
      <c r="R93" s="696">
        <f>+S79/S86*10</f>
        <v>5.7453916294696246</v>
      </c>
      <c r="S93" s="459">
        <f ca="1">+S89/Q89-1</f>
        <v>9.1634097781348345E-2</v>
      </c>
      <c r="T93" s="1064"/>
    </row>
    <row r="94" spans="2:20">
      <c r="Q94" s="696">
        <f ca="1">+P93-Q89</f>
        <v>-1.022055307227502</v>
      </c>
      <c r="R94" s="459"/>
      <c r="S94" s="696">
        <f>+R93-S89</f>
        <v>-1.5511984657844105</v>
      </c>
      <c r="T94" s="1064"/>
    </row>
    <row r="95" spans="2:20">
      <c r="Q95" s="459"/>
      <c r="R95" s="459"/>
      <c r="S95" s="459"/>
      <c r="T95" s="1064"/>
    </row>
    <row r="96" spans="2:20">
      <c r="Q96" s="459"/>
      <c r="R96" s="459"/>
      <c r="S96" s="459"/>
      <c r="T96" s="1064"/>
    </row>
    <row r="97" spans="3:19">
      <c r="C97" s="182" t="s">
        <v>1201</v>
      </c>
      <c r="P97" s="458"/>
      <c r="Q97" s="458" t="e">
        <f ca="1">+Q89-#REF!</f>
        <v>#REF!</v>
      </c>
      <c r="S97" s="458" t="e">
        <f>+S89-#REF!</f>
        <v>#REF!</v>
      </c>
    </row>
    <row r="98" spans="3:19">
      <c r="Q98" s="1023"/>
    </row>
    <row r="99" spans="3:19">
      <c r="C99" s="285" t="s">
        <v>49</v>
      </c>
      <c r="D99" s="32"/>
      <c r="E99" s="29" t="s">
        <v>294</v>
      </c>
      <c r="F99" s="93" t="s">
        <v>38</v>
      </c>
      <c r="G99" s="93" t="s">
        <v>146</v>
      </c>
      <c r="H99" s="93" t="s">
        <v>147</v>
      </c>
      <c r="I99" s="93" t="s">
        <v>148</v>
      </c>
      <c r="J99" s="93" t="s">
        <v>149</v>
      </c>
    </row>
    <row r="100" spans="3:19">
      <c r="C100" s="235" t="s">
        <v>1188</v>
      </c>
      <c r="D100" s="29"/>
      <c r="E100" s="29" t="s">
        <v>1194</v>
      </c>
      <c r="F100" s="29">
        <v>0</v>
      </c>
      <c r="G100" s="552">
        <f ca="1">+F103</f>
        <v>-6.2893657262531093</v>
      </c>
      <c r="H100" s="552">
        <f t="shared" ref="H100:J100" ca="1" si="42">+G103</f>
        <v>-3.2661675634958094</v>
      </c>
      <c r="I100" s="552">
        <f ca="1">+H103</f>
        <v>-0.24296940073850948</v>
      </c>
      <c r="J100" s="552">
        <f t="shared" ca="1" si="42"/>
        <v>0</v>
      </c>
    </row>
    <row r="101" spans="3:19">
      <c r="C101" s="235" t="s">
        <v>1189</v>
      </c>
      <c r="D101" s="29"/>
      <c r="E101" s="29" t="s">
        <v>1194</v>
      </c>
      <c r="F101" s="552">
        <f ca="1">+F80</f>
        <v>-6.2893657262531093</v>
      </c>
      <c r="G101" s="552">
        <v>0</v>
      </c>
      <c r="H101" s="552">
        <v>0</v>
      </c>
      <c r="I101" s="552">
        <v>0</v>
      </c>
      <c r="J101" s="552"/>
      <c r="Q101" s="1023"/>
    </row>
    <row r="102" spans="3:19">
      <c r="C102" s="235" t="s">
        <v>1190</v>
      </c>
      <c r="D102" s="29"/>
      <c r="E102" s="29" t="s">
        <v>1194</v>
      </c>
      <c r="F102" s="29">
        <v>0</v>
      </c>
      <c r="G102" s="552">
        <f>+I73</f>
        <v>-3.0231981627572999</v>
      </c>
      <c r="H102" s="552">
        <f>+N73</f>
        <v>-3.0231981627572999</v>
      </c>
      <c r="I102" s="552">
        <f ca="1">+I100</f>
        <v>-0.24296940073850948</v>
      </c>
      <c r="J102" s="1024">
        <f ca="1">+J100+J101</f>
        <v>0</v>
      </c>
      <c r="Q102" s="1023"/>
    </row>
    <row r="103" spans="3:19">
      <c r="C103" s="235" t="s">
        <v>1191</v>
      </c>
      <c r="D103" s="29"/>
      <c r="E103" s="29" t="s">
        <v>1194</v>
      </c>
      <c r="F103" s="552">
        <f ca="1">+F100+F101-F102</f>
        <v>-6.2893657262531093</v>
      </c>
      <c r="G103" s="552">
        <f ca="1">+G100+G101-G102</f>
        <v>-3.2661675634958094</v>
      </c>
      <c r="H103" s="552">
        <f ca="1">+H100+H101-H102</f>
        <v>-0.24296940073850948</v>
      </c>
      <c r="I103" s="552">
        <f ca="1">+I100+I101-I102</f>
        <v>0</v>
      </c>
      <c r="J103" s="552">
        <f ca="1">+J100+J101-J102</f>
        <v>0</v>
      </c>
    </row>
    <row r="104" spans="3:19">
      <c r="C104" s="235" t="s">
        <v>1192</v>
      </c>
      <c r="D104" s="29"/>
      <c r="E104" s="29" t="s">
        <v>1194</v>
      </c>
      <c r="F104" s="552">
        <f ca="1">+AVERAGE(F100,F103)</f>
        <v>-3.1446828631265547</v>
      </c>
      <c r="G104" s="552">
        <f ca="1">+AVERAGE(G100,G103)</f>
        <v>-4.7777666448744593</v>
      </c>
      <c r="H104" s="552">
        <f ca="1">+AVERAGE(H100,H103)</f>
        <v>-1.7545684821171594</v>
      </c>
      <c r="I104" s="552">
        <f ca="1">+AVERAGE(I100,I103)</f>
        <v>-0.12148470036925474</v>
      </c>
      <c r="J104" s="552">
        <f ca="1">+AVERAGE(J100,J103)</f>
        <v>0</v>
      </c>
    </row>
    <row r="105" spans="3:19">
      <c r="C105" s="235" t="s">
        <v>1193</v>
      </c>
      <c r="D105" s="29"/>
      <c r="E105" s="29" t="s">
        <v>644</v>
      </c>
      <c r="F105" s="741">
        <f>+ASSUM!C44</f>
        <v>0.14050000000000001</v>
      </c>
      <c r="G105" s="741">
        <f>+ASSUM!D44</f>
        <v>0.10787699999999999</v>
      </c>
      <c r="H105" s="741">
        <f>+ASSUM!E44</f>
        <v>0.101676</v>
      </c>
      <c r="I105" s="741">
        <f>+ASSUM!F44</f>
        <v>9.4500000000000001E-2</v>
      </c>
      <c r="J105" s="741">
        <f>+ASSUM!G44</f>
        <v>9.4500000000000001E-2</v>
      </c>
    </row>
    <row r="106" spans="3:19">
      <c r="C106" s="285" t="s">
        <v>1195</v>
      </c>
      <c r="D106" s="32"/>
      <c r="E106" s="32" t="s">
        <v>1194</v>
      </c>
      <c r="F106" s="558">
        <f ca="1">+F105*F104</f>
        <v>-0.44182794226928096</v>
      </c>
      <c r="G106" s="558">
        <f ca="1">+G105*G104</f>
        <v>-0.51541113234912195</v>
      </c>
      <c r="H106" s="558">
        <f ca="1">+H105*H104</f>
        <v>-0.17839750498774432</v>
      </c>
      <c r="I106" s="558">
        <f ca="1">+I105*I104</f>
        <v>-1.1480304184894572E-2</v>
      </c>
      <c r="J106" s="558">
        <f ca="1">+J105*J104</f>
        <v>0</v>
      </c>
      <c r="K106" s="1029"/>
      <c r="N106" s="696"/>
    </row>
    <row r="107" spans="3:19">
      <c r="C107" s="235" t="s">
        <v>1196</v>
      </c>
      <c r="D107" s="29"/>
      <c r="E107" s="29" t="s">
        <v>1194</v>
      </c>
      <c r="F107" s="29"/>
      <c r="G107" s="552">
        <f ca="1">+G106*I26/(I26+I56)</f>
        <v>-0.11762008183447666</v>
      </c>
      <c r="H107" s="690">
        <f ca="1">+H106*N41/(N41+N71)</f>
        <v>-4.347756205575875E-4</v>
      </c>
      <c r="I107" s="690">
        <f ca="1">+I106*Q41/(Q41+Q71)</f>
        <v>-1.8614894356314313E-5</v>
      </c>
      <c r="J107" s="690">
        <f ca="1">+J106*S41/(S41+S71)</f>
        <v>0</v>
      </c>
    </row>
    <row r="108" spans="3:19">
      <c r="C108" s="235" t="s">
        <v>1197</v>
      </c>
      <c r="D108" s="29"/>
      <c r="E108" s="29" t="s">
        <v>1194</v>
      </c>
      <c r="F108" s="29"/>
      <c r="G108" s="552">
        <f ca="1">+G106-G107</f>
        <v>-0.39779105051464531</v>
      </c>
      <c r="H108" s="552">
        <f t="shared" ref="H108:J108" ca="1" si="43">+H106-H107</f>
        <v>-0.17796272936718674</v>
      </c>
      <c r="I108" s="552">
        <f t="shared" ca="1" si="43"/>
        <v>-1.1461689290538257E-2</v>
      </c>
      <c r="J108" s="552">
        <f t="shared" ca="1" si="43"/>
        <v>0</v>
      </c>
    </row>
    <row r="110" spans="3:19">
      <c r="C110" s="182" t="s">
        <v>1202</v>
      </c>
    </row>
    <row r="112" spans="3:19">
      <c r="C112" s="285" t="s">
        <v>49</v>
      </c>
      <c r="D112" s="32"/>
      <c r="E112" s="29" t="s">
        <v>294</v>
      </c>
      <c r="F112" s="93" t="s">
        <v>38</v>
      </c>
      <c r="G112" s="93" t="s">
        <v>146</v>
      </c>
      <c r="H112" s="93" t="s">
        <v>147</v>
      </c>
      <c r="I112" s="93" t="s">
        <v>148</v>
      </c>
      <c r="J112" s="93" t="s">
        <v>149</v>
      </c>
    </row>
    <row r="113" spans="3:11">
      <c r="C113" s="235" t="s">
        <v>1188</v>
      </c>
      <c r="D113" s="29"/>
      <c r="E113" s="29" t="s">
        <v>1194</v>
      </c>
      <c r="F113" s="29">
        <v>0</v>
      </c>
      <c r="G113" s="552">
        <f>+F116</f>
        <v>0</v>
      </c>
      <c r="H113" s="552">
        <f t="shared" ref="H113" ca="1" si="44">+G116</f>
        <v>-2.1645477505505113</v>
      </c>
      <c r="I113" s="552">
        <f t="shared" ref="I113" ca="1" si="45">+H116</f>
        <v>-2.1645477505505113</v>
      </c>
      <c r="J113" s="552">
        <f t="shared" ref="J113" ca="1" si="46">+I116</f>
        <v>0</v>
      </c>
    </row>
    <row r="114" spans="3:11">
      <c r="C114" s="235" t="s">
        <v>1189</v>
      </c>
      <c r="D114" s="29"/>
      <c r="E114" s="29" t="s">
        <v>1194</v>
      </c>
      <c r="F114" s="552">
        <f>+F91</f>
        <v>0</v>
      </c>
      <c r="G114" s="552">
        <f ca="1">+I80</f>
        <v>-2.1645477505505113</v>
      </c>
      <c r="H114" s="552">
        <v>0</v>
      </c>
      <c r="I114" s="552">
        <f>+Q108</f>
        <v>0</v>
      </c>
      <c r="J114" s="552">
        <f>+S108</f>
        <v>0</v>
      </c>
    </row>
    <row r="115" spans="3:11">
      <c r="C115" s="235" t="s">
        <v>1190</v>
      </c>
      <c r="D115" s="29"/>
      <c r="E115" s="29" t="s">
        <v>1194</v>
      </c>
      <c r="F115" s="29">
        <v>0</v>
      </c>
      <c r="G115" s="552">
        <f>+I92</f>
        <v>0</v>
      </c>
      <c r="H115" s="552">
        <f>+N92</f>
        <v>0</v>
      </c>
      <c r="I115" s="552">
        <f ca="1">+I113</f>
        <v>-2.1645477505505113</v>
      </c>
      <c r="J115" s="1024">
        <f ca="1">+J113+J114</f>
        <v>0</v>
      </c>
    </row>
    <row r="116" spans="3:11">
      <c r="C116" s="235" t="s">
        <v>1191</v>
      </c>
      <c r="D116" s="29"/>
      <c r="E116" s="29" t="s">
        <v>1194</v>
      </c>
      <c r="F116" s="552">
        <f>+F113+F114-F115</f>
        <v>0</v>
      </c>
      <c r="G116" s="552">
        <f ca="1">+G113+G114-G115</f>
        <v>-2.1645477505505113</v>
      </c>
      <c r="H116" s="552">
        <f ca="1">+H113+H114-H115</f>
        <v>-2.1645477505505113</v>
      </c>
      <c r="I116" s="552">
        <f ca="1">+I113+I114-I115</f>
        <v>0</v>
      </c>
      <c r="J116" s="552">
        <f ca="1">+J113+J114-J115</f>
        <v>0</v>
      </c>
    </row>
    <row r="117" spans="3:11">
      <c r="C117" s="235" t="s">
        <v>1192</v>
      </c>
      <c r="D117" s="29"/>
      <c r="E117" s="29" t="s">
        <v>1194</v>
      </c>
      <c r="F117" s="552">
        <f>+AVERAGE(F113,F116)</f>
        <v>0</v>
      </c>
      <c r="G117" s="552">
        <f ca="1">+AVERAGE(G113,G116)</f>
        <v>-1.0822738752752556</v>
      </c>
      <c r="H117" s="552">
        <f ca="1">+AVERAGE(H113,H116)</f>
        <v>-2.1645477505505113</v>
      </c>
      <c r="I117" s="552">
        <f ca="1">+AVERAGE(I113,I116)</f>
        <v>-1.0822738752752556</v>
      </c>
      <c r="J117" s="552">
        <f ca="1">+AVERAGE(J113,J116)</f>
        <v>0</v>
      </c>
    </row>
    <row r="118" spans="3:11">
      <c r="C118" s="235" t="s">
        <v>1193</v>
      </c>
      <c r="D118" s="29"/>
      <c r="E118" s="29" t="s">
        <v>644</v>
      </c>
      <c r="F118" s="741">
        <f>+F105</f>
        <v>0.14050000000000001</v>
      </c>
      <c r="G118" s="741">
        <f t="shared" ref="G118:J118" si="47">+G105</f>
        <v>0.10787699999999999</v>
      </c>
      <c r="H118" s="741">
        <f t="shared" si="47"/>
        <v>0.101676</v>
      </c>
      <c r="I118" s="741">
        <f t="shared" si="47"/>
        <v>9.4500000000000001E-2</v>
      </c>
      <c r="J118" s="741">
        <f t="shared" si="47"/>
        <v>9.4500000000000001E-2</v>
      </c>
    </row>
    <row r="119" spans="3:11">
      <c r="C119" s="285" t="s">
        <v>1195</v>
      </c>
      <c r="D119" s="32"/>
      <c r="E119" s="32" t="s">
        <v>1194</v>
      </c>
      <c r="F119" s="558">
        <f>+F118*F117</f>
        <v>0</v>
      </c>
      <c r="G119" s="558">
        <f ca="1">+G118*G117</f>
        <v>-0.11675245884306874</v>
      </c>
      <c r="H119" s="558">
        <f ca="1">+H118*H117</f>
        <v>-0.22008255708497379</v>
      </c>
      <c r="I119" s="558">
        <f ca="1">+I118*I117</f>
        <v>-0.10227488121351166</v>
      </c>
      <c r="J119" s="558">
        <f ca="1">+J118*J117</f>
        <v>0</v>
      </c>
      <c r="K119" s="1029"/>
    </row>
    <row r="120" spans="3:11">
      <c r="C120" s="235" t="s">
        <v>1196</v>
      </c>
      <c r="D120" s="29"/>
      <c r="E120" s="29" t="s">
        <v>1194</v>
      </c>
      <c r="F120" s="29"/>
      <c r="G120" s="552"/>
      <c r="H120" s="690"/>
      <c r="I120" s="690"/>
      <c r="J120" s="690"/>
    </row>
    <row r="121" spans="3:11">
      <c r="C121" s="235" t="s">
        <v>1197</v>
      </c>
      <c r="D121" s="29"/>
      <c r="E121" s="29" t="s">
        <v>1194</v>
      </c>
      <c r="F121" s="29"/>
      <c r="G121" s="552"/>
      <c r="H121" s="552"/>
      <c r="I121" s="552"/>
      <c r="J121" s="552"/>
    </row>
  </sheetData>
  <mergeCells count="27">
    <mergeCell ref="P67:Q67"/>
    <mergeCell ref="R67:S67"/>
    <mergeCell ref="T67:T69"/>
    <mergeCell ref="B67:B69"/>
    <mergeCell ref="C67:C69"/>
    <mergeCell ref="E67:G67"/>
    <mergeCell ref="H67:J67"/>
    <mergeCell ref="K67:O67"/>
    <mergeCell ref="D67:D69"/>
    <mergeCell ref="K35:O35"/>
    <mergeCell ref="P35:Q35"/>
    <mergeCell ref="R35:S35"/>
    <mergeCell ref="T35:T37"/>
    <mergeCell ref="H10:J10"/>
    <mergeCell ref="K10:O10"/>
    <mergeCell ref="P10:Q10"/>
    <mergeCell ref="R10:S10"/>
    <mergeCell ref="B35:B37"/>
    <mergeCell ref="C35:C37"/>
    <mergeCell ref="D35:D37"/>
    <mergeCell ref="E35:G35"/>
    <mergeCell ref="H35:J35"/>
    <mergeCell ref="B10:B12"/>
    <mergeCell ref="C10:C12"/>
    <mergeCell ref="D10:D12"/>
    <mergeCell ref="E10:G10"/>
    <mergeCell ref="T10:T12"/>
  </mergeCells>
  <pageMargins left="0.43307086614173229" right="0.43307086614173229" top="0.9055118110236221" bottom="0.98425196850393704" header="0.51181102362204722" footer="0.51181102362204722"/>
  <pageSetup paperSize="9" scale="36" fitToHeight="0" orientation="landscape" r:id="rId1"/>
  <headerFooter alignWithMargins="0"/>
  <rowBreaks count="1" manualBreakCount="1">
    <brk id="63" max="19" man="1"/>
  </rowBreaks>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pageSetUpPr fitToPage="1"/>
  </sheetPr>
  <dimension ref="B2:R42"/>
  <sheetViews>
    <sheetView showGridLines="0" view="pageBreakPreview" zoomScale="40" zoomScaleNormal="75" zoomScaleSheetLayoutView="40" workbookViewId="0">
      <selection activeCell="C11" sqref="C11:C12"/>
    </sheetView>
  </sheetViews>
  <sheetFormatPr defaultColWidth="9.140625" defaultRowHeight="15"/>
  <cols>
    <col min="1" max="1" width="6.85546875" style="18" customWidth="1"/>
    <col min="2" max="2" width="9.28515625" style="37" customWidth="1"/>
    <col min="3" max="3" width="44.85546875" style="18" customWidth="1"/>
    <col min="4" max="18" width="19.85546875" style="18" customWidth="1"/>
    <col min="19" max="255" width="9.140625" style="18"/>
    <col min="256" max="256" width="6.85546875" style="18" customWidth="1"/>
    <col min="257" max="257" width="7" style="18" customWidth="1"/>
    <col min="258" max="258" width="42.42578125" style="18" customWidth="1"/>
    <col min="259" max="259" width="13.5703125" style="18" customWidth="1"/>
    <col min="260" max="260" width="20.85546875" style="18" customWidth="1"/>
    <col min="261" max="263" width="18.7109375" style="18" customWidth="1"/>
    <col min="264" max="264" width="15.140625" style="18" customWidth="1"/>
    <col min="265" max="265" width="15.28515625" style="18" customWidth="1"/>
    <col min="266" max="266" width="15" style="18" customWidth="1"/>
    <col min="267" max="267" width="15.140625" style="18" customWidth="1"/>
    <col min="268" max="268" width="15" style="18" customWidth="1"/>
    <col min="269" max="269" width="18.7109375" style="18" customWidth="1"/>
    <col min="270" max="511" width="9.140625" style="18"/>
    <col min="512" max="512" width="6.85546875" style="18" customWidth="1"/>
    <col min="513" max="513" width="7" style="18" customWidth="1"/>
    <col min="514" max="514" width="42.42578125" style="18" customWidth="1"/>
    <col min="515" max="515" width="13.5703125" style="18" customWidth="1"/>
    <col min="516" max="516" width="20.85546875" style="18" customWidth="1"/>
    <col min="517" max="519" width="18.7109375" style="18" customWidth="1"/>
    <col min="520" max="520" width="15.140625" style="18" customWidth="1"/>
    <col min="521" max="521" width="15.28515625" style="18" customWidth="1"/>
    <col min="522" max="522" width="15" style="18" customWidth="1"/>
    <col min="523" max="523" width="15.140625" style="18" customWidth="1"/>
    <col min="524" max="524" width="15" style="18" customWidth="1"/>
    <col min="525" max="525" width="18.7109375" style="18" customWidth="1"/>
    <col min="526" max="767" width="9.140625" style="18"/>
    <col min="768" max="768" width="6.85546875" style="18" customWidth="1"/>
    <col min="769" max="769" width="7" style="18" customWidth="1"/>
    <col min="770" max="770" width="42.42578125" style="18" customWidth="1"/>
    <col min="771" max="771" width="13.5703125" style="18" customWidth="1"/>
    <col min="772" max="772" width="20.85546875" style="18" customWidth="1"/>
    <col min="773" max="775" width="18.7109375" style="18" customWidth="1"/>
    <col min="776" max="776" width="15.140625" style="18" customWidth="1"/>
    <col min="777" max="777" width="15.28515625" style="18" customWidth="1"/>
    <col min="778" max="778" width="15" style="18" customWidth="1"/>
    <col min="779" max="779" width="15.140625" style="18" customWidth="1"/>
    <col min="780" max="780" width="15" style="18" customWidth="1"/>
    <col min="781" max="781" width="18.7109375" style="18" customWidth="1"/>
    <col min="782" max="1023" width="9.140625" style="18"/>
    <col min="1024" max="1024" width="6.85546875" style="18" customWidth="1"/>
    <col min="1025" max="1025" width="7" style="18" customWidth="1"/>
    <col min="1026" max="1026" width="42.42578125" style="18" customWidth="1"/>
    <col min="1027" max="1027" width="13.5703125" style="18" customWidth="1"/>
    <col min="1028" max="1028" width="20.85546875" style="18" customWidth="1"/>
    <col min="1029" max="1031" width="18.7109375" style="18" customWidth="1"/>
    <col min="1032" max="1032" width="15.140625" style="18" customWidth="1"/>
    <col min="1033" max="1033" width="15.28515625" style="18" customWidth="1"/>
    <col min="1034" max="1034" width="15" style="18" customWidth="1"/>
    <col min="1035" max="1035" width="15.140625" style="18" customWidth="1"/>
    <col min="1036" max="1036" width="15" style="18" customWidth="1"/>
    <col min="1037" max="1037" width="18.7109375" style="18" customWidth="1"/>
    <col min="1038" max="1279" width="9.140625" style="18"/>
    <col min="1280" max="1280" width="6.85546875" style="18" customWidth="1"/>
    <col min="1281" max="1281" width="7" style="18" customWidth="1"/>
    <col min="1282" max="1282" width="42.42578125" style="18" customWidth="1"/>
    <col min="1283" max="1283" width="13.5703125" style="18" customWidth="1"/>
    <col min="1284" max="1284" width="20.85546875" style="18" customWidth="1"/>
    <col min="1285" max="1287" width="18.7109375" style="18" customWidth="1"/>
    <col min="1288" max="1288" width="15.140625" style="18" customWidth="1"/>
    <col min="1289" max="1289" width="15.28515625" style="18" customWidth="1"/>
    <col min="1290" max="1290" width="15" style="18" customWidth="1"/>
    <col min="1291" max="1291" width="15.140625" style="18" customWidth="1"/>
    <col min="1292" max="1292" width="15" style="18" customWidth="1"/>
    <col min="1293" max="1293" width="18.7109375" style="18" customWidth="1"/>
    <col min="1294" max="1535" width="9.140625" style="18"/>
    <col min="1536" max="1536" width="6.85546875" style="18" customWidth="1"/>
    <col min="1537" max="1537" width="7" style="18" customWidth="1"/>
    <col min="1538" max="1538" width="42.42578125" style="18" customWidth="1"/>
    <col min="1539" max="1539" width="13.5703125" style="18" customWidth="1"/>
    <col min="1540" max="1540" width="20.85546875" style="18" customWidth="1"/>
    <col min="1541" max="1543" width="18.7109375" style="18" customWidth="1"/>
    <col min="1544" max="1544" width="15.140625" style="18" customWidth="1"/>
    <col min="1545" max="1545" width="15.28515625" style="18" customWidth="1"/>
    <col min="1546" max="1546" width="15" style="18" customWidth="1"/>
    <col min="1547" max="1547" width="15.140625" style="18" customWidth="1"/>
    <col min="1548" max="1548" width="15" style="18" customWidth="1"/>
    <col min="1549" max="1549" width="18.7109375" style="18" customWidth="1"/>
    <col min="1550" max="1791" width="9.140625" style="18"/>
    <col min="1792" max="1792" width="6.85546875" style="18" customWidth="1"/>
    <col min="1793" max="1793" width="7" style="18" customWidth="1"/>
    <col min="1794" max="1794" width="42.42578125" style="18" customWidth="1"/>
    <col min="1795" max="1795" width="13.5703125" style="18" customWidth="1"/>
    <col min="1796" max="1796" width="20.85546875" style="18" customWidth="1"/>
    <col min="1797" max="1799" width="18.7109375" style="18" customWidth="1"/>
    <col min="1800" max="1800" width="15.140625" style="18" customWidth="1"/>
    <col min="1801" max="1801" width="15.28515625" style="18" customWidth="1"/>
    <col min="1802" max="1802" width="15" style="18" customWidth="1"/>
    <col min="1803" max="1803" width="15.140625" style="18" customWidth="1"/>
    <col min="1804" max="1804" width="15" style="18" customWidth="1"/>
    <col min="1805" max="1805" width="18.7109375" style="18" customWidth="1"/>
    <col min="1806" max="2047" width="9.140625" style="18"/>
    <col min="2048" max="2048" width="6.85546875" style="18" customWidth="1"/>
    <col min="2049" max="2049" width="7" style="18" customWidth="1"/>
    <col min="2050" max="2050" width="42.42578125" style="18" customWidth="1"/>
    <col min="2051" max="2051" width="13.5703125" style="18" customWidth="1"/>
    <col min="2052" max="2052" width="20.85546875" style="18" customWidth="1"/>
    <col min="2053" max="2055" width="18.7109375" style="18" customWidth="1"/>
    <col min="2056" max="2056" width="15.140625" style="18" customWidth="1"/>
    <col min="2057" max="2057" width="15.28515625" style="18" customWidth="1"/>
    <col min="2058" max="2058" width="15" style="18" customWidth="1"/>
    <col min="2059" max="2059" width="15.140625" style="18" customWidth="1"/>
    <col min="2060" max="2060" width="15" style="18" customWidth="1"/>
    <col min="2061" max="2061" width="18.7109375" style="18" customWidth="1"/>
    <col min="2062" max="2303" width="9.140625" style="18"/>
    <col min="2304" max="2304" width="6.85546875" style="18" customWidth="1"/>
    <col min="2305" max="2305" width="7" style="18" customWidth="1"/>
    <col min="2306" max="2306" width="42.42578125" style="18" customWidth="1"/>
    <col min="2307" max="2307" width="13.5703125" style="18" customWidth="1"/>
    <col min="2308" max="2308" width="20.85546875" style="18" customWidth="1"/>
    <col min="2309" max="2311" width="18.7109375" style="18" customWidth="1"/>
    <col min="2312" max="2312" width="15.140625" style="18" customWidth="1"/>
    <col min="2313" max="2313" width="15.28515625" style="18" customWidth="1"/>
    <col min="2314" max="2314" width="15" style="18" customWidth="1"/>
    <col min="2315" max="2315" width="15.140625" style="18" customWidth="1"/>
    <col min="2316" max="2316" width="15" style="18" customWidth="1"/>
    <col min="2317" max="2317" width="18.7109375" style="18" customWidth="1"/>
    <col min="2318" max="2559" width="9.140625" style="18"/>
    <col min="2560" max="2560" width="6.85546875" style="18" customWidth="1"/>
    <col min="2561" max="2561" width="7" style="18" customWidth="1"/>
    <col min="2562" max="2562" width="42.42578125" style="18" customWidth="1"/>
    <col min="2563" max="2563" width="13.5703125" style="18" customWidth="1"/>
    <col min="2564" max="2564" width="20.85546875" style="18" customWidth="1"/>
    <col min="2565" max="2567" width="18.7109375" style="18" customWidth="1"/>
    <col min="2568" max="2568" width="15.140625" style="18" customWidth="1"/>
    <col min="2569" max="2569" width="15.28515625" style="18" customWidth="1"/>
    <col min="2570" max="2570" width="15" style="18" customWidth="1"/>
    <col min="2571" max="2571" width="15.140625" style="18" customWidth="1"/>
    <col min="2572" max="2572" width="15" style="18" customWidth="1"/>
    <col min="2573" max="2573" width="18.7109375" style="18" customWidth="1"/>
    <col min="2574" max="2815" width="9.140625" style="18"/>
    <col min="2816" max="2816" width="6.85546875" style="18" customWidth="1"/>
    <col min="2817" max="2817" width="7" style="18" customWidth="1"/>
    <col min="2818" max="2818" width="42.42578125" style="18" customWidth="1"/>
    <col min="2819" max="2819" width="13.5703125" style="18" customWidth="1"/>
    <col min="2820" max="2820" width="20.85546875" style="18" customWidth="1"/>
    <col min="2821" max="2823" width="18.7109375" style="18" customWidth="1"/>
    <col min="2824" max="2824" width="15.140625" style="18" customWidth="1"/>
    <col min="2825" max="2825" width="15.28515625" style="18" customWidth="1"/>
    <col min="2826" max="2826" width="15" style="18" customWidth="1"/>
    <col min="2827" max="2827" width="15.140625" style="18" customWidth="1"/>
    <col min="2828" max="2828" width="15" style="18" customWidth="1"/>
    <col min="2829" max="2829" width="18.7109375" style="18" customWidth="1"/>
    <col min="2830" max="3071" width="9.140625" style="18"/>
    <col min="3072" max="3072" width="6.85546875" style="18" customWidth="1"/>
    <col min="3073" max="3073" width="7" style="18" customWidth="1"/>
    <col min="3074" max="3074" width="42.42578125" style="18" customWidth="1"/>
    <col min="3075" max="3075" width="13.5703125" style="18" customWidth="1"/>
    <col min="3076" max="3076" width="20.85546875" style="18" customWidth="1"/>
    <col min="3077" max="3079" width="18.7109375" style="18" customWidth="1"/>
    <col min="3080" max="3080" width="15.140625" style="18" customWidth="1"/>
    <col min="3081" max="3081" width="15.28515625" style="18" customWidth="1"/>
    <col min="3082" max="3082" width="15" style="18" customWidth="1"/>
    <col min="3083" max="3083" width="15.140625" style="18" customWidth="1"/>
    <col min="3084" max="3084" width="15" style="18" customWidth="1"/>
    <col min="3085" max="3085" width="18.7109375" style="18" customWidth="1"/>
    <col min="3086" max="3327" width="9.140625" style="18"/>
    <col min="3328" max="3328" width="6.85546875" style="18" customWidth="1"/>
    <col min="3329" max="3329" width="7" style="18" customWidth="1"/>
    <col min="3330" max="3330" width="42.42578125" style="18" customWidth="1"/>
    <col min="3331" max="3331" width="13.5703125" style="18" customWidth="1"/>
    <col min="3332" max="3332" width="20.85546875" style="18" customWidth="1"/>
    <col min="3333" max="3335" width="18.7109375" style="18" customWidth="1"/>
    <col min="3336" max="3336" width="15.140625" style="18" customWidth="1"/>
    <col min="3337" max="3337" width="15.28515625" style="18" customWidth="1"/>
    <col min="3338" max="3338" width="15" style="18" customWidth="1"/>
    <col min="3339" max="3339" width="15.140625" style="18" customWidth="1"/>
    <col min="3340" max="3340" width="15" style="18" customWidth="1"/>
    <col min="3341" max="3341" width="18.7109375" style="18" customWidth="1"/>
    <col min="3342" max="3583" width="9.140625" style="18"/>
    <col min="3584" max="3584" width="6.85546875" style="18" customWidth="1"/>
    <col min="3585" max="3585" width="7" style="18" customWidth="1"/>
    <col min="3586" max="3586" width="42.42578125" style="18" customWidth="1"/>
    <col min="3587" max="3587" width="13.5703125" style="18" customWidth="1"/>
    <col min="3588" max="3588" width="20.85546875" style="18" customWidth="1"/>
    <col min="3589" max="3591" width="18.7109375" style="18" customWidth="1"/>
    <col min="3592" max="3592" width="15.140625" style="18" customWidth="1"/>
    <col min="3593" max="3593" width="15.28515625" style="18" customWidth="1"/>
    <col min="3594" max="3594" width="15" style="18" customWidth="1"/>
    <col min="3595" max="3595" width="15.140625" style="18" customWidth="1"/>
    <col min="3596" max="3596" width="15" style="18" customWidth="1"/>
    <col min="3597" max="3597" width="18.7109375" style="18" customWidth="1"/>
    <col min="3598" max="3839" width="9.140625" style="18"/>
    <col min="3840" max="3840" width="6.85546875" style="18" customWidth="1"/>
    <col min="3841" max="3841" width="7" style="18" customWidth="1"/>
    <col min="3842" max="3842" width="42.42578125" style="18" customWidth="1"/>
    <col min="3843" max="3843" width="13.5703125" style="18" customWidth="1"/>
    <col min="3844" max="3844" width="20.85546875" style="18" customWidth="1"/>
    <col min="3845" max="3847" width="18.7109375" style="18" customWidth="1"/>
    <col min="3848" max="3848" width="15.140625" style="18" customWidth="1"/>
    <col min="3849" max="3849" width="15.28515625" style="18" customWidth="1"/>
    <col min="3850" max="3850" width="15" style="18" customWidth="1"/>
    <col min="3851" max="3851" width="15.140625" style="18" customWidth="1"/>
    <col min="3852" max="3852" width="15" style="18" customWidth="1"/>
    <col min="3853" max="3853" width="18.7109375" style="18" customWidth="1"/>
    <col min="3854" max="4095" width="9.140625" style="18"/>
    <col min="4096" max="4096" width="6.85546875" style="18" customWidth="1"/>
    <col min="4097" max="4097" width="7" style="18" customWidth="1"/>
    <col min="4098" max="4098" width="42.42578125" style="18" customWidth="1"/>
    <col min="4099" max="4099" width="13.5703125" style="18" customWidth="1"/>
    <col min="4100" max="4100" width="20.85546875" style="18" customWidth="1"/>
    <col min="4101" max="4103" width="18.7109375" style="18" customWidth="1"/>
    <col min="4104" max="4104" width="15.140625" style="18" customWidth="1"/>
    <col min="4105" max="4105" width="15.28515625" style="18" customWidth="1"/>
    <col min="4106" max="4106" width="15" style="18" customWidth="1"/>
    <col min="4107" max="4107" width="15.140625" style="18" customWidth="1"/>
    <col min="4108" max="4108" width="15" style="18" customWidth="1"/>
    <col min="4109" max="4109" width="18.7109375" style="18" customWidth="1"/>
    <col min="4110" max="4351" width="9.140625" style="18"/>
    <col min="4352" max="4352" width="6.85546875" style="18" customWidth="1"/>
    <col min="4353" max="4353" width="7" style="18" customWidth="1"/>
    <col min="4354" max="4354" width="42.42578125" style="18" customWidth="1"/>
    <col min="4355" max="4355" width="13.5703125" style="18" customWidth="1"/>
    <col min="4356" max="4356" width="20.85546875" style="18" customWidth="1"/>
    <col min="4357" max="4359" width="18.7109375" style="18" customWidth="1"/>
    <col min="4360" max="4360" width="15.140625" style="18" customWidth="1"/>
    <col min="4361" max="4361" width="15.28515625" style="18" customWidth="1"/>
    <col min="4362" max="4362" width="15" style="18" customWidth="1"/>
    <col min="4363" max="4363" width="15.140625" style="18" customWidth="1"/>
    <col min="4364" max="4364" width="15" style="18" customWidth="1"/>
    <col min="4365" max="4365" width="18.7109375" style="18" customWidth="1"/>
    <col min="4366" max="4607" width="9.140625" style="18"/>
    <col min="4608" max="4608" width="6.85546875" style="18" customWidth="1"/>
    <col min="4609" max="4609" width="7" style="18" customWidth="1"/>
    <col min="4610" max="4610" width="42.42578125" style="18" customWidth="1"/>
    <col min="4611" max="4611" width="13.5703125" style="18" customWidth="1"/>
    <col min="4612" max="4612" width="20.85546875" style="18" customWidth="1"/>
    <col min="4613" max="4615" width="18.7109375" style="18" customWidth="1"/>
    <col min="4616" max="4616" width="15.140625" style="18" customWidth="1"/>
    <col min="4617" max="4617" width="15.28515625" style="18" customWidth="1"/>
    <col min="4618" max="4618" width="15" style="18" customWidth="1"/>
    <col min="4619" max="4619" width="15.140625" style="18" customWidth="1"/>
    <col min="4620" max="4620" width="15" style="18" customWidth="1"/>
    <col min="4621" max="4621" width="18.7109375" style="18" customWidth="1"/>
    <col min="4622" max="4863" width="9.140625" style="18"/>
    <col min="4864" max="4864" width="6.85546875" style="18" customWidth="1"/>
    <col min="4865" max="4865" width="7" style="18" customWidth="1"/>
    <col min="4866" max="4866" width="42.42578125" style="18" customWidth="1"/>
    <col min="4867" max="4867" width="13.5703125" style="18" customWidth="1"/>
    <col min="4868" max="4868" width="20.85546875" style="18" customWidth="1"/>
    <col min="4869" max="4871" width="18.7109375" style="18" customWidth="1"/>
    <col min="4872" max="4872" width="15.140625" style="18" customWidth="1"/>
    <col min="4873" max="4873" width="15.28515625" style="18" customWidth="1"/>
    <col min="4874" max="4874" width="15" style="18" customWidth="1"/>
    <col min="4875" max="4875" width="15.140625" style="18" customWidth="1"/>
    <col min="4876" max="4876" width="15" style="18" customWidth="1"/>
    <col min="4877" max="4877" width="18.7109375" style="18" customWidth="1"/>
    <col min="4878" max="5119" width="9.140625" style="18"/>
    <col min="5120" max="5120" width="6.85546875" style="18" customWidth="1"/>
    <col min="5121" max="5121" width="7" style="18" customWidth="1"/>
    <col min="5122" max="5122" width="42.42578125" style="18" customWidth="1"/>
    <col min="5123" max="5123" width="13.5703125" style="18" customWidth="1"/>
    <col min="5124" max="5124" width="20.85546875" style="18" customWidth="1"/>
    <col min="5125" max="5127" width="18.7109375" style="18" customWidth="1"/>
    <col min="5128" max="5128" width="15.140625" style="18" customWidth="1"/>
    <col min="5129" max="5129" width="15.28515625" style="18" customWidth="1"/>
    <col min="5130" max="5130" width="15" style="18" customWidth="1"/>
    <col min="5131" max="5131" width="15.140625" style="18" customWidth="1"/>
    <col min="5132" max="5132" width="15" style="18" customWidth="1"/>
    <col min="5133" max="5133" width="18.7109375" style="18" customWidth="1"/>
    <col min="5134" max="5375" width="9.140625" style="18"/>
    <col min="5376" max="5376" width="6.85546875" style="18" customWidth="1"/>
    <col min="5377" max="5377" width="7" style="18" customWidth="1"/>
    <col min="5378" max="5378" width="42.42578125" style="18" customWidth="1"/>
    <col min="5379" max="5379" width="13.5703125" style="18" customWidth="1"/>
    <col min="5380" max="5380" width="20.85546875" style="18" customWidth="1"/>
    <col min="5381" max="5383" width="18.7109375" style="18" customWidth="1"/>
    <col min="5384" max="5384" width="15.140625" style="18" customWidth="1"/>
    <col min="5385" max="5385" width="15.28515625" style="18" customWidth="1"/>
    <col min="5386" max="5386" width="15" style="18" customWidth="1"/>
    <col min="5387" max="5387" width="15.140625" style="18" customWidth="1"/>
    <col min="5388" max="5388" width="15" style="18" customWidth="1"/>
    <col min="5389" max="5389" width="18.7109375" style="18" customWidth="1"/>
    <col min="5390" max="5631" width="9.140625" style="18"/>
    <col min="5632" max="5632" width="6.85546875" style="18" customWidth="1"/>
    <col min="5633" max="5633" width="7" style="18" customWidth="1"/>
    <col min="5634" max="5634" width="42.42578125" style="18" customWidth="1"/>
    <col min="5635" max="5635" width="13.5703125" style="18" customWidth="1"/>
    <col min="5636" max="5636" width="20.85546875" style="18" customWidth="1"/>
    <col min="5637" max="5639" width="18.7109375" style="18" customWidth="1"/>
    <col min="5640" max="5640" width="15.140625" style="18" customWidth="1"/>
    <col min="5641" max="5641" width="15.28515625" style="18" customWidth="1"/>
    <col min="5642" max="5642" width="15" style="18" customWidth="1"/>
    <col min="5643" max="5643" width="15.140625" style="18" customWidth="1"/>
    <col min="5644" max="5644" width="15" style="18" customWidth="1"/>
    <col min="5645" max="5645" width="18.7109375" style="18" customWidth="1"/>
    <col min="5646" max="5887" width="9.140625" style="18"/>
    <col min="5888" max="5888" width="6.85546875" style="18" customWidth="1"/>
    <col min="5889" max="5889" width="7" style="18" customWidth="1"/>
    <col min="5890" max="5890" width="42.42578125" style="18" customWidth="1"/>
    <col min="5891" max="5891" width="13.5703125" style="18" customWidth="1"/>
    <col min="5892" max="5892" width="20.85546875" style="18" customWidth="1"/>
    <col min="5893" max="5895" width="18.7109375" style="18" customWidth="1"/>
    <col min="5896" max="5896" width="15.140625" style="18" customWidth="1"/>
    <col min="5897" max="5897" width="15.28515625" style="18" customWidth="1"/>
    <col min="5898" max="5898" width="15" style="18" customWidth="1"/>
    <col min="5899" max="5899" width="15.140625" style="18" customWidth="1"/>
    <col min="5900" max="5900" width="15" style="18" customWidth="1"/>
    <col min="5901" max="5901" width="18.7109375" style="18" customWidth="1"/>
    <col min="5902" max="6143" width="9.140625" style="18"/>
    <col min="6144" max="6144" width="6.85546875" style="18" customWidth="1"/>
    <col min="6145" max="6145" width="7" style="18" customWidth="1"/>
    <col min="6146" max="6146" width="42.42578125" style="18" customWidth="1"/>
    <col min="6147" max="6147" width="13.5703125" style="18" customWidth="1"/>
    <col min="6148" max="6148" width="20.85546875" style="18" customWidth="1"/>
    <col min="6149" max="6151" width="18.7109375" style="18" customWidth="1"/>
    <col min="6152" max="6152" width="15.140625" style="18" customWidth="1"/>
    <col min="6153" max="6153" width="15.28515625" style="18" customWidth="1"/>
    <col min="6154" max="6154" width="15" style="18" customWidth="1"/>
    <col min="6155" max="6155" width="15.140625" style="18" customWidth="1"/>
    <col min="6156" max="6156" width="15" style="18" customWidth="1"/>
    <col min="6157" max="6157" width="18.7109375" style="18" customWidth="1"/>
    <col min="6158" max="6399" width="9.140625" style="18"/>
    <col min="6400" max="6400" width="6.85546875" style="18" customWidth="1"/>
    <col min="6401" max="6401" width="7" style="18" customWidth="1"/>
    <col min="6402" max="6402" width="42.42578125" style="18" customWidth="1"/>
    <col min="6403" max="6403" width="13.5703125" style="18" customWidth="1"/>
    <col min="6404" max="6404" width="20.85546875" style="18" customWidth="1"/>
    <col min="6405" max="6407" width="18.7109375" style="18" customWidth="1"/>
    <col min="6408" max="6408" width="15.140625" style="18" customWidth="1"/>
    <col min="6409" max="6409" width="15.28515625" style="18" customWidth="1"/>
    <col min="6410" max="6410" width="15" style="18" customWidth="1"/>
    <col min="6411" max="6411" width="15.140625" style="18" customWidth="1"/>
    <col min="6412" max="6412" width="15" style="18" customWidth="1"/>
    <col min="6413" max="6413" width="18.7109375" style="18" customWidth="1"/>
    <col min="6414" max="6655" width="9.140625" style="18"/>
    <col min="6656" max="6656" width="6.85546875" style="18" customWidth="1"/>
    <col min="6657" max="6657" width="7" style="18" customWidth="1"/>
    <col min="6658" max="6658" width="42.42578125" style="18" customWidth="1"/>
    <col min="6659" max="6659" width="13.5703125" style="18" customWidth="1"/>
    <col min="6660" max="6660" width="20.85546875" style="18" customWidth="1"/>
    <col min="6661" max="6663" width="18.7109375" style="18" customWidth="1"/>
    <col min="6664" max="6664" width="15.140625" style="18" customWidth="1"/>
    <col min="6665" max="6665" width="15.28515625" style="18" customWidth="1"/>
    <col min="6666" max="6666" width="15" style="18" customWidth="1"/>
    <col min="6667" max="6667" width="15.140625" style="18" customWidth="1"/>
    <col min="6668" max="6668" width="15" style="18" customWidth="1"/>
    <col min="6669" max="6669" width="18.7109375" style="18" customWidth="1"/>
    <col min="6670" max="6911" width="9.140625" style="18"/>
    <col min="6912" max="6912" width="6.85546875" style="18" customWidth="1"/>
    <col min="6913" max="6913" width="7" style="18" customWidth="1"/>
    <col min="6914" max="6914" width="42.42578125" style="18" customWidth="1"/>
    <col min="6915" max="6915" width="13.5703125" style="18" customWidth="1"/>
    <col min="6916" max="6916" width="20.85546875" style="18" customWidth="1"/>
    <col min="6917" max="6919" width="18.7109375" style="18" customWidth="1"/>
    <col min="6920" max="6920" width="15.140625" style="18" customWidth="1"/>
    <col min="6921" max="6921" width="15.28515625" style="18" customWidth="1"/>
    <col min="6922" max="6922" width="15" style="18" customWidth="1"/>
    <col min="6923" max="6923" width="15.140625" style="18" customWidth="1"/>
    <col min="6924" max="6924" width="15" style="18" customWidth="1"/>
    <col min="6925" max="6925" width="18.7109375" style="18" customWidth="1"/>
    <col min="6926" max="7167" width="9.140625" style="18"/>
    <col min="7168" max="7168" width="6.85546875" style="18" customWidth="1"/>
    <col min="7169" max="7169" width="7" style="18" customWidth="1"/>
    <col min="7170" max="7170" width="42.42578125" style="18" customWidth="1"/>
    <col min="7171" max="7171" width="13.5703125" style="18" customWidth="1"/>
    <col min="7172" max="7172" width="20.85546875" style="18" customWidth="1"/>
    <col min="7173" max="7175" width="18.7109375" style="18" customWidth="1"/>
    <col min="7176" max="7176" width="15.140625" style="18" customWidth="1"/>
    <col min="7177" max="7177" width="15.28515625" style="18" customWidth="1"/>
    <col min="7178" max="7178" width="15" style="18" customWidth="1"/>
    <col min="7179" max="7179" width="15.140625" style="18" customWidth="1"/>
    <col min="7180" max="7180" width="15" style="18" customWidth="1"/>
    <col min="7181" max="7181" width="18.7109375" style="18" customWidth="1"/>
    <col min="7182" max="7423" width="9.140625" style="18"/>
    <col min="7424" max="7424" width="6.85546875" style="18" customWidth="1"/>
    <col min="7425" max="7425" width="7" style="18" customWidth="1"/>
    <col min="7426" max="7426" width="42.42578125" style="18" customWidth="1"/>
    <col min="7427" max="7427" width="13.5703125" style="18" customWidth="1"/>
    <col min="7428" max="7428" width="20.85546875" style="18" customWidth="1"/>
    <col min="7429" max="7431" width="18.7109375" style="18" customWidth="1"/>
    <col min="7432" max="7432" width="15.140625" style="18" customWidth="1"/>
    <col min="7433" max="7433" width="15.28515625" style="18" customWidth="1"/>
    <col min="7434" max="7434" width="15" style="18" customWidth="1"/>
    <col min="7435" max="7435" width="15.140625" style="18" customWidth="1"/>
    <col min="7436" max="7436" width="15" style="18" customWidth="1"/>
    <col min="7437" max="7437" width="18.7109375" style="18" customWidth="1"/>
    <col min="7438" max="7679" width="9.140625" style="18"/>
    <col min="7680" max="7680" width="6.85546875" style="18" customWidth="1"/>
    <col min="7681" max="7681" width="7" style="18" customWidth="1"/>
    <col min="7682" max="7682" width="42.42578125" style="18" customWidth="1"/>
    <col min="7683" max="7683" width="13.5703125" style="18" customWidth="1"/>
    <col min="7684" max="7684" width="20.85546875" style="18" customWidth="1"/>
    <col min="7685" max="7687" width="18.7109375" style="18" customWidth="1"/>
    <col min="7688" max="7688" width="15.140625" style="18" customWidth="1"/>
    <col min="7689" max="7689" width="15.28515625" style="18" customWidth="1"/>
    <col min="7690" max="7690" width="15" style="18" customWidth="1"/>
    <col min="7691" max="7691" width="15.140625" style="18" customWidth="1"/>
    <col min="7692" max="7692" width="15" style="18" customWidth="1"/>
    <col min="7693" max="7693" width="18.7109375" style="18" customWidth="1"/>
    <col min="7694" max="7935" width="9.140625" style="18"/>
    <col min="7936" max="7936" width="6.85546875" style="18" customWidth="1"/>
    <col min="7937" max="7937" width="7" style="18" customWidth="1"/>
    <col min="7938" max="7938" width="42.42578125" style="18" customWidth="1"/>
    <col min="7939" max="7939" width="13.5703125" style="18" customWidth="1"/>
    <col min="7940" max="7940" width="20.85546875" style="18" customWidth="1"/>
    <col min="7941" max="7943" width="18.7109375" style="18" customWidth="1"/>
    <col min="7944" max="7944" width="15.140625" style="18" customWidth="1"/>
    <col min="7945" max="7945" width="15.28515625" style="18" customWidth="1"/>
    <col min="7946" max="7946" width="15" style="18" customWidth="1"/>
    <col min="7947" max="7947" width="15.140625" style="18" customWidth="1"/>
    <col min="7948" max="7948" width="15" style="18" customWidth="1"/>
    <col min="7949" max="7949" width="18.7109375" style="18" customWidth="1"/>
    <col min="7950" max="8191" width="9.140625" style="18"/>
    <col min="8192" max="8192" width="6.85546875" style="18" customWidth="1"/>
    <col min="8193" max="8193" width="7" style="18" customWidth="1"/>
    <col min="8194" max="8194" width="42.42578125" style="18" customWidth="1"/>
    <col min="8195" max="8195" width="13.5703125" style="18" customWidth="1"/>
    <col min="8196" max="8196" width="20.85546875" style="18" customWidth="1"/>
    <col min="8197" max="8199" width="18.7109375" style="18" customWidth="1"/>
    <col min="8200" max="8200" width="15.140625" style="18" customWidth="1"/>
    <col min="8201" max="8201" width="15.28515625" style="18" customWidth="1"/>
    <col min="8202" max="8202" width="15" style="18" customWidth="1"/>
    <col min="8203" max="8203" width="15.140625" style="18" customWidth="1"/>
    <col min="8204" max="8204" width="15" style="18" customWidth="1"/>
    <col min="8205" max="8205" width="18.7109375" style="18" customWidth="1"/>
    <col min="8206" max="8447" width="9.140625" style="18"/>
    <col min="8448" max="8448" width="6.85546875" style="18" customWidth="1"/>
    <col min="8449" max="8449" width="7" style="18" customWidth="1"/>
    <col min="8450" max="8450" width="42.42578125" style="18" customWidth="1"/>
    <col min="8451" max="8451" width="13.5703125" style="18" customWidth="1"/>
    <col min="8452" max="8452" width="20.85546875" style="18" customWidth="1"/>
    <col min="8453" max="8455" width="18.7109375" style="18" customWidth="1"/>
    <col min="8456" max="8456" width="15.140625" style="18" customWidth="1"/>
    <col min="8457" max="8457" width="15.28515625" style="18" customWidth="1"/>
    <col min="8458" max="8458" width="15" style="18" customWidth="1"/>
    <col min="8459" max="8459" width="15.140625" style="18" customWidth="1"/>
    <col min="8460" max="8460" width="15" style="18" customWidth="1"/>
    <col min="8461" max="8461" width="18.7109375" style="18" customWidth="1"/>
    <col min="8462" max="8703" width="9.140625" style="18"/>
    <col min="8704" max="8704" width="6.85546875" style="18" customWidth="1"/>
    <col min="8705" max="8705" width="7" style="18" customWidth="1"/>
    <col min="8706" max="8706" width="42.42578125" style="18" customWidth="1"/>
    <col min="8707" max="8707" width="13.5703125" style="18" customWidth="1"/>
    <col min="8708" max="8708" width="20.85546875" style="18" customWidth="1"/>
    <col min="8709" max="8711" width="18.7109375" style="18" customWidth="1"/>
    <col min="8712" max="8712" width="15.140625" style="18" customWidth="1"/>
    <col min="8713" max="8713" width="15.28515625" style="18" customWidth="1"/>
    <col min="8714" max="8714" width="15" style="18" customWidth="1"/>
    <col min="8715" max="8715" width="15.140625" style="18" customWidth="1"/>
    <col min="8716" max="8716" width="15" style="18" customWidth="1"/>
    <col min="8717" max="8717" width="18.7109375" style="18" customWidth="1"/>
    <col min="8718" max="8959" width="9.140625" style="18"/>
    <col min="8960" max="8960" width="6.85546875" style="18" customWidth="1"/>
    <col min="8961" max="8961" width="7" style="18" customWidth="1"/>
    <col min="8962" max="8962" width="42.42578125" style="18" customWidth="1"/>
    <col min="8963" max="8963" width="13.5703125" style="18" customWidth="1"/>
    <col min="8964" max="8964" width="20.85546875" style="18" customWidth="1"/>
    <col min="8965" max="8967" width="18.7109375" style="18" customWidth="1"/>
    <col min="8968" max="8968" width="15.140625" style="18" customWidth="1"/>
    <col min="8969" max="8969" width="15.28515625" style="18" customWidth="1"/>
    <col min="8970" max="8970" width="15" style="18" customWidth="1"/>
    <col min="8971" max="8971" width="15.140625" style="18" customWidth="1"/>
    <col min="8972" max="8972" width="15" style="18" customWidth="1"/>
    <col min="8973" max="8973" width="18.7109375" style="18" customWidth="1"/>
    <col min="8974" max="9215" width="9.140625" style="18"/>
    <col min="9216" max="9216" width="6.85546875" style="18" customWidth="1"/>
    <col min="9217" max="9217" width="7" style="18" customWidth="1"/>
    <col min="9218" max="9218" width="42.42578125" style="18" customWidth="1"/>
    <col min="9219" max="9219" width="13.5703125" style="18" customWidth="1"/>
    <col min="9220" max="9220" width="20.85546875" style="18" customWidth="1"/>
    <col min="9221" max="9223" width="18.7109375" style="18" customWidth="1"/>
    <col min="9224" max="9224" width="15.140625" style="18" customWidth="1"/>
    <col min="9225" max="9225" width="15.28515625" style="18" customWidth="1"/>
    <col min="9226" max="9226" width="15" style="18" customWidth="1"/>
    <col min="9227" max="9227" width="15.140625" style="18" customWidth="1"/>
    <col min="9228" max="9228" width="15" style="18" customWidth="1"/>
    <col min="9229" max="9229" width="18.7109375" style="18" customWidth="1"/>
    <col min="9230" max="9471" width="9.140625" style="18"/>
    <col min="9472" max="9472" width="6.85546875" style="18" customWidth="1"/>
    <col min="9473" max="9473" width="7" style="18" customWidth="1"/>
    <col min="9474" max="9474" width="42.42578125" style="18" customWidth="1"/>
    <col min="9475" max="9475" width="13.5703125" style="18" customWidth="1"/>
    <col min="9476" max="9476" width="20.85546875" style="18" customWidth="1"/>
    <col min="9477" max="9479" width="18.7109375" style="18" customWidth="1"/>
    <col min="9480" max="9480" width="15.140625" style="18" customWidth="1"/>
    <col min="9481" max="9481" width="15.28515625" style="18" customWidth="1"/>
    <col min="9482" max="9482" width="15" style="18" customWidth="1"/>
    <col min="9483" max="9483" width="15.140625" style="18" customWidth="1"/>
    <col min="9484" max="9484" width="15" style="18" customWidth="1"/>
    <col min="9485" max="9485" width="18.7109375" style="18" customWidth="1"/>
    <col min="9486" max="9727" width="9.140625" style="18"/>
    <col min="9728" max="9728" width="6.85546875" style="18" customWidth="1"/>
    <col min="9729" max="9729" width="7" style="18" customWidth="1"/>
    <col min="9730" max="9730" width="42.42578125" style="18" customWidth="1"/>
    <col min="9731" max="9731" width="13.5703125" style="18" customWidth="1"/>
    <col min="9732" max="9732" width="20.85546875" style="18" customWidth="1"/>
    <col min="9733" max="9735" width="18.7109375" style="18" customWidth="1"/>
    <col min="9736" max="9736" width="15.140625" style="18" customWidth="1"/>
    <col min="9737" max="9737" width="15.28515625" style="18" customWidth="1"/>
    <col min="9738" max="9738" width="15" style="18" customWidth="1"/>
    <col min="9739" max="9739" width="15.140625" style="18" customWidth="1"/>
    <col min="9740" max="9740" width="15" style="18" customWidth="1"/>
    <col min="9741" max="9741" width="18.7109375" style="18" customWidth="1"/>
    <col min="9742" max="9983" width="9.140625" style="18"/>
    <col min="9984" max="9984" width="6.85546875" style="18" customWidth="1"/>
    <col min="9985" max="9985" width="7" style="18" customWidth="1"/>
    <col min="9986" max="9986" width="42.42578125" style="18" customWidth="1"/>
    <col min="9987" max="9987" width="13.5703125" style="18" customWidth="1"/>
    <col min="9988" max="9988" width="20.85546875" style="18" customWidth="1"/>
    <col min="9989" max="9991" width="18.7109375" style="18" customWidth="1"/>
    <col min="9992" max="9992" width="15.140625" style="18" customWidth="1"/>
    <col min="9993" max="9993" width="15.28515625" style="18" customWidth="1"/>
    <col min="9994" max="9994" width="15" style="18" customWidth="1"/>
    <col min="9995" max="9995" width="15.140625" style="18" customWidth="1"/>
    <col min="9996" max="9996" width="15" style="18" customWidth="1"/>
    <col min="9997" max="9997" width="18.7109375" style="18" customWidth="1"/>
    <col min="9998" max="10239" width="9.140625" style="18"/>
    <col min="10240" max="10240" width="6.85546875" style="18" customWidth="1"/>
    <col min="10241" max="10241" width="7" style="18" customWidth="1"/>
    <col min="10242" max="10242" width="42.42578125" style="18" customWidth="1"/>
    <col min="10243" max="10243" width="13.5703125" style="18" customWidth="1"/>
    <col min="10244" max="10244" width="20.85546875" style="18" customWidth="1"/>
    <col min="10245" max="10247" width="18.7109375" style="18" customWidth="1"/>
    <col min="10248" max="10248" width="15.140625" style="18" customWidth="1"/>
    <col min="10249" max="10249" width="15.28515625" style="18" customWidth="1"/>
    <col min="10250" max="10250" width="15" style="18" customWidth="1"/>
    <col min="10251" max="10251" width="15.140625" style="18" customWidth="1"/>
    <col min="10252" max="10252" width="15" style="18" customWidth="1"/>
    <col min="10253" max="10253" width="18.7109375" style="18" customWidth="1"/>
    <col min="10254" max="10495" width="9.140625" style="18"/>
    <col min="10496" max="10496" width="6.85546875" style="18" customWidth="1"/>
    <col min="10497" max="10497" width="7" style="18" customWidth="1"/>
    <col min="10498" max="10498" width="42.42578125" style="18" customWidth="1"/>
    <col min="10499" max="10499" width="13.5703125" style="18" customWidth="1"/>
    <col min="10500" max="10500" width="20.85546875" style="18" customWidth="1"/>
    <col min="10501" max="10503" width="18.7109375" style="18" customWidth="1"/>
    <col min="10504" max="10504" width="15.140625" style="18" customWidth="1"/>
    <col min="10505" max="10505" width="15.28515625" style="18" customWidth="1"/>
    <col min="10506" max="10506" width="15" style="18" customWidth="1"/>
    <col min="10507" max="10507" width="15.140625" style="18" customWidth="1"/>
    <col min="10508" max="10508" width="15" style="18" customWidth="1"/>
    <col min="10509" max="10509" width="18.7109375" style="18" customWidth="1"/>
    <col min="10510" max="10751" width="9.140625" style="18"/>
    <col min="10752" max="10752" width="6.85546875" style="18" customWidth="1"/>
    <col min="10753" max="10753" width="7" style="18" customWidth="1"/>
    <col min="10754" max="10754" width="42.42578125" style="18" customWidth="1"/>
    <col min="10755" max="10755" width="13.5703125" style="18" customWidth="1"/>
    <col min="10756" max="10756" width="20.85546875" style="18" customWidth="1"/>
    <col min="10757" max="10759" width="18.7109375" style="18" customWidth="1"/>
    <col min="10760" max="10760" width="15.140625" style="18" customWidth="1"/>
    <col min="10761" max="10761" width="15.28515625" style="18" customWidth="1"/>
    <col min="10762" max="10762" width="15" style="18" customWidth="1"/>
    <col min="10763" max="10763" width="15.140625" style="18" customWidth="1"/>
    <col min="10764" max="10764" width="15" style="18" customWidth="1"/>
    <col min="10765" max="10765" width="18.7109375" style="18" customWidth="1"/>
    <col min="10766" max="11007" width="9.140625" style="18"/>
    <col min="11008" max="11008" width="6.85546875" style="18" customWidth="1"/>
    <col min="11009" max="11009" width="7" style="18" customWidth="1"/>
    <col min="11010" max="11010" width="42.42578125" style="18" customWidth="1"/>
    <col min="11011" max="11011" width="13.5703125" style="18" customWidth="1"/>
    <col min="11012" max="11012" width="20.85546875" style="18" customWidth="1"/>
    <col min="11013" max="11015" width="18.7109375" style="18" customWidth="1"/>
    <col min="11016" max="11016" width="15.140625" style="18" customWidth="1"/>
    <col min="11017" max="11017" width="15.28515625" style="18" customWidth="1"/>
    <col min="11018" max="11018" width="15" style="18" customWidth="1"/>
    <col min="11019" max="11019" width="15.140625" style="18" customWidth="1"/>
    <col min="11020" max="11020" width="15" style="18" customWidth="1"/>
    <col min="11021" max="11021" width="18.7109375" style="18" customWidth="1"/>
    <col min="11022" max="11263" width="9.140625" style="18"/>
    <col min="11264" max="11264" width="6.85546875" style="18" customWidth="1"/>
    <col min="11265" max="11265" width="7" style="18" customWidth="1"/>
    <col min="11266" max="11266" width="42.42578125" style="18" customWidth="1"/>
    <col min="11267" max="11267" width="13.5703125" style="18" customWidth="1"/>
    <col min="11268" max="11268" width="20.85546875" style="18" customWidth="1"/>
    <col min="11269" max="11271" width="18.7109375" style="18" customWidth="1"/>
    <col min="11272" max="11272" width="15.140625" style="18" customWidth="1"/>
    <col min="11273" max="11273" width="15.28515625" style="18" customWidth="1"/>
    <col min="11274" max="11274" width="15" style="18" customWidth="1"/>
    <col min="11275" max="11275" width="15.140625" style="18" customWidth="1"/>
    <col min="11276" max="11276" width="15" style="18" customWidth="1"/>
    <col min="11277" max="11277" width="18.7109375" style="18" customWidth="1"/>
    <col min="11278" max="11519" width="9.140625" style="18"/>
    <col min="11520" max="11520" width="6.85546875" style="18" customWidth="1"/>
    <col min="11521" max="11521" width="7" style="18" customWidth="1"/>
    <col min="11522" max="11522" width="42.42578125" style="18" customWidth="1"/>
    <col min="11523" max="11523" width="13.5703125" style="18" customWidth="1"/>
    <col min="11524" max="11524" width="20.85546875" style="18" customWidth="1"/>
    <col min="11525" max="11527" width="18.7109375" style="18" customWidth="1"/>
    <col min="11528" max="11528" width="15.140625" style="18" customWidth="1"/>
    <col min="11529" max="11529" width="15.28515625" style="18" customWidth="1"/>
    <col min="11530" max="11530" width="15" style="18" customWidth="1"/>
    <col min="11531" max="11531" width="15.140625" style="18" customWidth="1"/>
    <col min="11532" max="11532" width="15" style="18" customWidth="1"/>
    <col min="11533" max="11533" width="18.7109375" style="18" customWidth="1"/>
    <col min="11534" max="11775" width="9.140625" style="18"/>
    <col min="11776" max="11776" width="6.85546875" style="18" customWidth="1"/>
    <col min="11777" max="11777" width="7" style="18" customWidth="1"/>
    <col min="11778" max="11778" width="42.42578125" style="18" customWidth="1"/>
    <col min="11779" max="11779" width="13.5703125" style="18" customWidth="1"/>
    <col min="11780" max="11780" width="20.85546875" style="18" customWidth="1"/>
    <col min="11781" max="11783" width="18.7109375" style="18" customWidth="1"/>
    <col min="11784" max="11784" width="15.140625" style="18" customWidth="1"/>
    <col min="11785" max="11785" width="15.28515625" style="18" customWidth="1"/>
    <col min="11786" max="11786" width="15" style="18" customWidth="1"/>
    <col min="11787" max="11787" width="15.140625" style="18" customWidth="1"/>
    <col min="11788" max="11788" width="15" style="18" customWidth="1"/>
    <col min="11789" max="11789" width="18.7109375" style="18" customWidth="1"/>
    <col min="11790" max="12031" width="9.140625" style="18"/>
    <col min="12032" max="12032" width="6.85546875" style="18" customWidth="1"/>
    <col min="12033" max="12033" width="7" style="18" customWidth="1"/>
    <col min="12034" max="12034" width="42.42578125" style="18" customWidth="1"/>
    <col min="12035" max="12035" width="13.5703125" style="18" customWidth="1"/>
    <col min="12036" max="12036" width="20.85546875" style="18" customWidth="1"/>
    <col min="12037" max="12039" width="18.7109375" style="18" customWidth="1"/>
    <col min="12040" max="12040" width="15.140625" style="18" customWidth="1"/>
    <col min="12041" max="12041" width="15.28515625" style="18" customWidth="1"/>
    <col min="12042" max="12042" width="15" style="18" customWidth="1"/>
    <col min="12043" max="12043" width="15.140625" style="18" customWidth="1"/>
    <col min="12044" max="12044" width="15" style="18" customWidth="1"/>
    <col min="12045" max="12045" width="18.7109375" style="18" customWidth="1"/>
    <col min="12046" max="12287" width="9.140625" style="18"/>
    <col min="12288" max="12288" width="6.85546875" style="18" customWidth="1"/>
    <col min="12289" max="12289" width="7" style="18" customWidth="1"/>
    <col min="12290" max="12290" width="42.42578125" style="18" customWidth="1"/>
    <col min="12291" max="12291" width="13.5703125" style="18" customWidth="1"/>
    <col min="12292" max="12292" width="20.85546875" style="18" customWidth="1"/>
    <col min="12293" max="12295" width="18.7109375" style="18" customWidth="1"/>
    <col min="12296" max="12296" width="15.140625" style="18" customWidth="1"/>
    <col min="12297" max="12297" width="15.28515625" style="18" customWidth="1"/>
    <col min="12298" max="12298" width="15" style="18" customWidth="1"/>
    <col min="12299" max="12299" width="15.140625" style="18" customWidth="1"/>
    <col min="12300" max="12300" width="15" style="18" customWidth="1"/>
    <col min="12301" max="12301" width="18.7109375" style="18" customWidth="1"/>
    <col min="12302" max="12543" width="9.140625" style="18"/>
    <col min="12544" max="12544" width="6.85546875" style="18" customWidth="1"/>
    <col min="12545" max="12545" width="7" style="18" customWidth="1"/>
    <col min="12546" max="12546" width="42.42578125" style="18" customWidth="1"/>
    <col min="12547" max="12547" width="13.5703125" style="18" customWidth="1"/>
    <col min="12548" max="12548" width="20.85546875" style="18" customWidth="1"/>
    <col min="12549" max="12551" width="18.7109375" style="18" customWidth="1"/>
    <col min="12552" max="12552" width="15.140625" style="18" customWidth="1"/>
    <col min="12553" max="12553" width="15.28515625" style="18" customWidth="1"/>
    <col min="12554" max="12554" width="15" style="18" customWidth="1"/>
    <col min="12555" max="12555" width="15.140625" style="18" customWidth="1"/>
    <col min="12556" max="12556" width="15" style="18" customWidth="1"/>
    <col min="12557" max="12557" width="18.7109375" style="18" customWidth="1"/>
    <col min="12558" max="12799" width="9.140625" style="18"/>
    <col min="12800" max="12800" width="6.85546875" style="18" customWidth="1"/>
    <col min="12801" max="12801" width="7" style="18" customWidth="1"/>
    <col min="12802" max="12802" width="42.42578125" style="18" customWidth="1"/>
    <col min="12803" max="12803" width="13.5703125" style="18" customWidth="1"/>
    <col min="12804" max="12804" width="20.85546875" style="18" customWidth="1"/>
    <col min="12805" max="12807" width="18.7109375" style="18" customWidth="1"/>
    <col min="12808" max="12808" width="15.140625" style="18" customWidth="1"/>
    <col min="12809" max="12809" width="15.28515625" style="18" customWidth="1"/>
    <col min="12810" max="12810" width="15" style="18" customWidth="1"/>
    <col min="12811" max="12811" width="15.140625" style="18" customWidth="1"/>
    <col min="12812" max="12812" width="15" style="18" customWidth="1"/>
    <col min="12813" max="12813" width="18.7109375" style="18" customWidth="1"/>
    <col min="12814" max="13055" width="9.140625" style="18"/>
    <col min="13056" max="13056" width="6.85546875" style="18" customWidth="1"/>
    <col min="13057" max="13057" width="7" style="18" customWidth="1"/>
    <col min="13058" max="13058" width="42.42578125" style="18" customWidth="1"/>
    <col min="13059" max="13059" width="13.5703125" style="18" customWidth="1"/>
    <col min="13060" max="13060" width="20.85546875" style="18" customWidth="1"/>
    <col min="13061" max="13063" width="18.7109375" style="18" customWidth="1"/>
    <col min="13064" max="13064" width="15.140625" style="18" customWidth="1"/>
    <col min="13065" max="13065" width="15.28515625" style="18" customWidth="1"/>
    <col min="13066" max="13066" width="15" style="18" customWidth="1"/>
    <col min="13067" max="13067" width="15.140625" style="18" customWidth="1"/>
    <col min="13068" max="13068" width="15" style="18" customWidth="1"/>
    <col min="13069" max="13069" width="18.7109375" style="18" customWidth="1"/>
    <col min="13070" max="13311" width="9.140625" style="18"/>
    <col min="13312" max="13312" width="6.85546875" style="18" customWidth="1"/>
    <col min="13313" max="13313" width="7" style="18" customWidth="1"/>
    <col min="13314" max="13314" width="42.42578125" style="18" customWidth="1"/>
    <col min="13315" max="13315" width="13.5703125" style="18" customWidth="1"/>
    <col min="13316" max="13316" width="20.85546875" style="18" customWidth="1"/>
    <col min="13317" max="13319" width="18.7109375" style="18" customWidth="1"/>
    <col min="13320" max="13320" width="15.140625" style="18" customWidth="1"/>
    <col min="13321" max="13321" width="15.28515625" style="18" customWidth="1"/>
    <col min="13322" max="13322" width="15" style="18" customWidth="1"/>
    <col min="13323" max="13323" width="15.140625" style="18" customWidth="1"/>
    <col min="13324" max="13324" width="15" style="18" customWidth="1"/>
    <col min="13325" max="13325" width="18.7109375" style="18" customWidth="1"/>
    <col min="13326" max="13567" width="9.140625" style="18"/>
    <col min="13568" max="13568" width="6.85546875" style="18" customWidth="1"/>
    <col min="13569" max="13569" width="7" style="18" customWidth="1"/>
    <col min="13570" max="13570" width="42.42578125" style="18" customWidth="1"/>
    <col min="13571" max="13571" width="13.5703125" style="18" customWidth="1"/>
    <col min="13572" max="13572" width="20.85546875" style="18" customWidth="1"/>
    <col min="13573" max="13575" width="18.7109375" style="18" customWidth="1"/>
    <col min="13576" max="13576" width="15.140625" style="18" customWidth="1"/>
    <col min="13577" max="13577" width="15.28515625" style="18" customWidth="1"/>
    <col min="13578" max="13578" width="15" style="18" customWidth="1"/>
    <col min="13579" max="13579" width="15.140625" style="18" customWidth="1"/>
    <col min="13580" max="13580" width="15" style="18" customWidth="1"/>
    <col min="13581" max="13581" width="18.7109375" style="18" customWidth="1"/>
    <col min="13582" max="13823" width="9.140625" style="18"/>
    <col min="13824" max="13824" width="6.85546875" style="18" customWidth="1"/>
    <col min="13825" max="13825" width="7" style="18" customWidth="1"/>
    <col min="13826" max="13826" width="42.42578125" style="18" customWidth="1"/>
    <col min="13827" max="13827" width="13.5703125" style="18" customWidth="1"/>
    <col min="13828" max="13828" width="20.85546875" style="18" customWidth="1"/>
    <col min="13829" max="13831" width="18.7109375" style="18" customWidth="1"/>
    <col min="13832" max="13832" width="15.140625" style="18" customWidth="1"/>
    <col min="13833" max="13833" width="15.28515625" style="18" customWidth="1"/>
    <col min="13834" max="13834" width="15" style="18" customWidth="1"/>
    <col min="13835" max="13835" width="15.140625" style="18" customWidth="1"/>
    <col min="13836" max="13836" width="15" style="18" customWidth="1"/>
    <col min="13837" max="13837" width="18.7109375" style="18" customWidth="1"/>
    <col min="13838" max="14079" width="9.140625" style="18"/>
    <col min="14080" max="14080" width="6.85546875" style="18" customWidth="1"/>
    <col min="14081" max="14081" width="7" style="18" customWidth="1"/>
    <col min="14082" max="14082" width="42.42578125" style="18" customWidth="1"/>
    <col min="14083" max="14083" width="13.5703125" style="18" customWidth="1"/>
    <col min="14084" max="14084" width="20.85546875" style="18" customWidth="1"/>
    <col min="14085" max="14087" width="18.7109375" style="18" customWidth="1"/>
    <col min="14088" max="14088" width="15.140625" style="18" customWidth="1"/>
    <col min="14089" max="14089" width="15.28515625" style="18" customWidth="1"/>
    <col min="14090" max="14090" width="15" style="18" customWidth="1"/>
    <col min="14091" max="14091" width="15.140625" style="18" customWidth="1"/>
    <col min="14092" max="14092" width="15" style="18" customWidth="1"/>
    <col min="14093" max="14093" width="18.7109375" style="18" customWidth="1"/>
    <col min="14094" max="14335" width="9.140625" style="18"/>
    <col min="14336" max="14336" width="6.85546875" style="18" customWidth="1"/>
    <col min="14337" max="14337" width="7" style="18" customWidth="1"/>
    <col min="14338" max="14338" width="42.42578125" style="18" customWidth="1"/>
    <col min="14339" max="14339" width="13.5703125" style="18" customWidth="1"/>
    <col min="14340" max="14340" width="20.85546875" style="18" customWidth="1"/>
    <col min="14341" max="14343" width="18.7109375" style="18" customWidth="1"/>
    <col min="14344" max="14344" width="15.140625" style="18" customWidth="1"/>
    <col min="14345" max="14345" width="15.28515625" style="18" customWidth="1"/>
    <col min="14346" max="14346" width="15" style="18" customWidth="1"/>
    <col min="14347" max="14347" width="15.140625" style="18" customWidth="1"/>
    <col min="14348" max="14348" width="15" style="18" customWidth="1"/>
    <col min="14349" max="14349" width="18.7109375" style="18" customWidth="1"/>
    <col min="14350" max="14591" width="9.140625" style="18"/>
    <col min="14592" max="14592" width="6.85546875" style="18" customWidth="1"/>
    <col min="14593" max="14593" width="7" style="18" customWidth="1"/>
    <col min="14594" max="14594" width="42.42578125" style="18" customWidth="1"/>
    <col min="14595" max="14595" width="13.5703125" style="18" customWidth="1"/>
    <col min="14596" max="14596" width="20.85546875" style="18" customWidth="1"/>
    <col min="14597" max="14599" width="18.7109375" style="18" customWidth="1"/>
    <col min="14600" max="14600" width="15.140625" style="18" customWidth="1"/>
    <col min="14601" max="14601" width="15.28515625" style="18" customWidth="1"/>
    <col min="14602" max="14602" width="15" style="18" customWidth="1"/>
    <col min="14603" max="14603" width="15.140625" style="18" customWidth="1"/>
    <col min="14604" max="14604" width="15" style="18" customWidth="1"/>
    <col min="14605" max="14605" width="18.7109375" style="18" customWidth="1"/>
    <col min="14606" max="14847" width="9.140625" style="18"/>
    <col min="14848" max="14848" width="6.85546875" style="18" customWidth="1"/>
    <col min="14849" max="14849" width="7" style="18" customWidth="1"/>
    <col min="14850" max="14850" width="42.42578125" style="18" customWidth="1"/>
    <col min="14851" max="14851" width="13.5703125" style="18" customWidth="1"/>
    <col min="14852" max="14852" width="20.85546875" style="18" customWidth="1"/>
    <col min="14853" max="14855" width="18.7109375" style="18" customWidth="1"/>
    <col min="14856" max="14856" width="15.140625" style="18" customWidth="1"/>
    <col min="14857" max="14857" width="15.28515625" style="18" customWidth="1"/>
    <col min="14858" max="14858" width="15" style="18" customWidth="1"/>
    <col min="14859" max="14859" width="15.140625" style="18" customWidth="1"/>
    <col min="14860" max="14860" width="15" style="18" customWidth="1"/>
    <col min="14861" max="14861" width="18.7109375" style="18" customWidth="1"/>
    <col min="14862" max="15103" width="9.140625" style="18"/>
    <col min="15104" max="15104" width="6.85546875" style="18" customWidth="1"/>
    <col min="15105" max="15105" width="7" style="18" customWidth="1"/>
    <col min="15106" max="15106" width="42.42578125" style="18" customWidth="1"/>
    <col min="15107" max="15107" width="13.5703125" style="18" customWidth="1"/>
    <col min="15108" max="15108" width="20.85546875" style="18" customWidth="1"/>
    <col min="15109" max="15111" width="18.7109375" style="18" customWidth="1"/>
    <col min="15112" max="15112" width="15.140625" style="18" customWidth="1"/>
    <col min="15113" max="15113" width="15.28515625" style="18" customWidth="1"/>
    <col min="15114" max="15114" width="15" style="18" customWidth="1"/>
    <col min="15115" max="15115" width="15.140625" style="18" customWidth="1"/>
    <col min="15116" max="15116" width="15" style="18" customWidth="1"/>
    <col min="15117" max="15117" width="18.7109375" style="18" customWidth="1"/>
    <col min="15118" max="15359" width="9.140625" style="18"/>
    <col min="15360" max="15360" width="6.85546875" style="18" customWidth="1"/>
    <col min="15361" max="15361" width="7" style="18" customWidth="1"/>
    <col min="15362" max="15362" width="42.42578125" style="18" customWidth="1"/>
    <col min="15363" max="15363" width="13.5703125" style="18" customWidth="1"/>
    <col min="15364" max="15364" width="20.85546875" style="18" customWidth="1"/>
    <col min="15365" max="15367" width="18.7109375" style="18" customWidth="1"/>
    <col min="15368" max="15368" width="15.140625" style="18" customWidth="1"/>
    <col min="15369" max="15369" width="15.28515625" style="18" customWidth="1"/>
    <col min="15370" max="15370" width="15" style="18" customWidth="1"/>
    <col min="15371" max="15371" width="15.140625" style="18" customWidth="1"/>
    <col min="15372" max="15372" width="15" style="18" customWidth="1"/>
    <col min="15373" max="15373" width="18.7109375" style="18" customWidth="1"/>
    <col min="15374" max="15615" width="9.140625" style="18"/>
    <col min="15616" max="15616" width="6.85546875" style="18" customWidth="1"/>
    <col min="15617" max="15617" width="7" style="18" customWidth="1"/>
    <col min="15618" max="15618" width="42.42578125" style="18" customWidth="1"/>
    <col min="15619" max="15619" width="13.5703125" style="18" customWidth="1"/>
    <col min="15620" max="15620" width="20.85546875" style="18" customWidth="1"/>
    <col min="15621" max="15623" width="18.7109375" style="18" customWidth="1"/>
    <col min="15624" max="15624" width="15.140625" style="18" customWidth="1"/>
    <col min="15625" max="15625" width="15.28515625" style="18" customWidth="1"/>
    <col min="15626" max="15626" width="15" style="18" customWidth="1"/>
    <col min="15627" max="15627" width="15.140625" style="18" customWidth="1"/>
    <col min="15628" max="15628" width="15" style="18" customWidth="1"/>
    <col min="15629" max="15629" width="18.7109375" style="18" customWidth="1"/>
    <col min="15630" max="15871" width="9.140625" style="18"/>
    <col min="15872" max="15872" width="6.85546875" style="18" customWidth="1"/>
    <col min="15873" max="15873" width="7" style="18" customWidth="1"/>
    <col min="15874" max="15874" width="42.42578125" style="18" customWidth="1"/>
    <col min="15875" max="15875" width="13.5703125" style="18" customWidth="1"/>
    <col min="15876" max="15876" width="20.85546875" style="18" customWidth="1"/>
    <col min="15877" max="15879" width="18.7109375" style="18" customWidth="1"/>
    <col min="15880" max="15880" width="15.140625" style="18" customWidth="1"/>
    <col min="15881" max="15881" width="15.28515625" style="18" customWidth="1"/>
    <col min="15882" max="15882" width="15" style="18" customWidth="1"/>
    <col min="15883" max="15883" width="15.140625" style="18" customWidth="1"/>
    <col min="15884" max="15884" width="15" style="18" customWidth="1"/>
    <col min="15885" max="15885" width="18.7109375" style="18" customWidth="1"/>
    <col min="15886" max="16127" width="9.140625" style="18"/>
    <col min="16128" max="16128" width="6.85546875" style="18" customWidth="1"/>
    <col min="16129" max="16129" width="7" style="18" customWidth="1"/>
    <col min="16130" max="16130" width="42.42578125" style="18" customWidth="1"/>
    <col min="16131" max="16131" width="13.5703125" style="18" customWidth="1"/>
    <col min="16132" max="16132" width="20.85546875" style="18" customWidth="1"/>
    <col min="16133" max="16135" width="18.7109375" style="18" customWidth="1"/>
    <col min="16136" max="16136" width="15.140625" style="18" customWidth="1"/>
    <col min="16137" max="16137" width="15.28515625" style="18" customWidth="1"/>
    <col min="16138" max="16138" width="15" style="18" customWidth="1"/>
    <col min="16139" max="16139" width="15.140625" style="18" customWidth="1"/>
    <col min="16140" max="16140" width="15" style="18" customWidth="1"/>
    <col min="16141" max="16141" width="18.7109375" style="18" customWidth="1"/>
    <col min="16142" max="16384" width="9.140625" style="18"/>
  </cols>
  <sheetData>
    <row r="2" spans="2:18">
      <c r="C2" s="227"/>
      <c r="D2" s="227"/>
      <c r="E2" s="227"/>
      <c r="F2" s="227"/>
      <c r="H2" s="227"/>
      <c r="I2" s="229"/>
      <c r="J2" s="375" t="s">
        <v>906</v>
      </c>
      <c r="K2" s="229"/>
      <c r="L2" s="229"/>
      <c r="M2" s="229"/>
      <c r="N2" s="229"/>
    </row>
    <row r="3" spans="2:18" s="155" customFormat="1">
      <c r="B3" s="74"/>
      <c r="C3" s="54"/>
      <c r="D3" s="54"/>
      <c r="E3" s="54"/>
      <c r="F3" s="54"/>
      <c r="H3" s="54"/>
      <c r="I3" s="100"/>
      <c r="J3" s="373" t="s">
        <v>722</v>
      </c>
      <c r="K3" s="100"/>
      <c r="L3" s="100"/>
      <c r="M3" s="100"/>
      <c r="N3" s="100"/>
    </row>
    <row r="4" spans="2:18" s="155" customFormat="1">
      <c r="B4" s="74"/>
      <c r="C4" s="70"/>
      <c r="D4" s="70"/>
      <c r="E4" s="70"/>
      <c r="F4" s="70"/>
      <c r="H4" s="70"/>
      <c r="I4" s="230"/>
      <c r="J4" s="62" t="s">
        <v>577</v>
      </c>
      <c r="K4" s="230"/>
      <c r="L4" s="230"/>
      <c r="M4" s="230"/>
      <c r="N4" s="230"/>
    </row>
    <row r="5" spans="2:18" s="155" customFormat="1">
      <c r="B5" s="231"/>
      <c r="C5" s="62"/>
      <c r="D5" s="45"/>
      <c r="E5" s="45"/>
      <c r="F5" s="45"/>
      <c r="G5" s="45"/>
      <c r="H5" s="45"/>
      <c r="I5" s="45"/>
      <c r="J5" s="45"/>
      <c r="K5" s="45"/>
      <c r="L5" s="45"/>
      <c r="M5" s="45"/>
      <c r="N5" s="45"/>
    </row>
    <row r="6" spans="2:18">
      <c r="B6" s="91"/>
      <c r="C6" s="91"/>
      <c r="D6" s="91"/>
      <c r="E6" s="91"/>
      <c r="F6" s="91"/>
      <c r="G6" s="91"/>
      <c r="H6" s="91"/>
      <c r="I6" s="91"/>
      <c r="J6" s="91"/>
      <c r="K6" s="91"/>
      <c r="L6" s="91"/>
      <c r="M6" s="91"/>
      <c r="N6" s="91"/>
    </row>
    <row r="7" spans="2:18" ht="18.75">
      <c r="B7" s="232"/>
      <c r="C7" s="156" t="s">
        <v>325</v>
      </c>
    </row>
    <row r="8" spans="2:18">
      <c r="H8" s="27"/>
      <c r="L8" s="27"/>
      <c r="R8" s="27" t="s">
        <v>16</v>
      </c>
    </row>
    <row r="9" spans="2:18" s="389" customFormat="1">
      <c r="B9" s="1355" t="s">
        <v>157</v>
      </c>
      <c r="C9" s="1358" t="s">
        <v>49</v>
      </c>
      <c r="D9" s="1360" t="s">
        <v>38</v>
      </c>
      <c r="E9" s="1361"/>
      <c r="F9" s="1362"/>
      <c r="G9" s="1360" t="s">
        <v>146</v>
      </c>
      <c r="H9" s="1361"/>
      <c r="I9" s="1362"/>
      <c r="J9" s="1360" t="s">
        <v>147</v>
      </c>
      <c r="K9" s="1361"/>
      <c r="L9" s="1361"/>
      <c r="M9" s="1361"/>
      <c r="N9" s="1362"/>
      <c r="O9" s="1360" t="s">
        <v>148</v>
      </c>
      <c r="P9" s="1362"/>
      <c r="Q9" s="1363" t="s">
        <v>149</v>
      </c>
      <c r="R9" s="1363"/>
    </row>
    <row r="10" spans="2:18" s="389" customFormat="1" ht="28.5">
      <c r="B10" s="1356"/>
      <c r="C10" s="1358"/>
      <c r="D10" s="409" t="s">
        <v>413</v>
      </c>
      <c r="E10" s="391" t="s">
        <v>414</v>
      </c>
      <c r="F10" s="391" t="s">
        <v>415</v>
      </c>
      <c r="G10" s="390" t="s">
        <v>413</v>
      </c>
      <c r="H10" s="391" t="s">
        <v>414</v>
      </c>
      <c r="I10" s="391" t="s">
        <v>415</v>
      </c>
      <c r="J10" s="391" t="s">
        <v>413</v>
      </c>
      <c r="K10" s="391" t="s">
        <v>416</v>
      </c>
      <c r="L10" s="391" t="s">
        <v>335</v>
      </c>
      <c r="M10" s="391" t="s">
        <v>71</v>
      </c>
      <c r="N10" s="391" t="s">
        <v>417</v>
      </c>
      <c r="O10" s="391" t="s">
        <v>413</v>
      </c>
      <c r="P10" s="391" t="s">
        <v>671</v>
      </c>
      <c r="Q10" s="391" t="s">
        <v>413</v>
      </c>
      <c r="R10" s="391" t="s">
        <v>671</v>
      </c>
    </row>
    <row r="11" spans="2:18" s="389" customFormat="1">
      <c r="B11" s="1357"/>
      <c r="C11" s="1359"/>
      <c r="D11" s="391" t="s">
        <v>72</v>
      </c>
      <c r="E11" s="391" t="s">
        <v>73</v>
      </c>
      <c r="F11" s="391" t="s">
        <v>705</v>
      </c>
      <c r="G11" s="391" t="s">
        <v>419</v>
      </c>
      <c r="H11" s="391" t="s">
        <v>420</v>
      </c>
      <c r="I11" s="391" t="s">
        <v>706</v>
      </c>
      <c r="J11" s="391" t="s">
        <v>676</v>
      </c>
      <c r="K11" s="391" t="s">
        <v>593</v>
      </c>
      <c r="L11" s="391" t="s">
        <v>677</v>
      </c>
      <c r="M11" s="391" t="s">
        <v>707</v>
      </c>
      <c r="N11" s="391" t="s">
        <v>708</v>
      </c>
      <c r="O11" s="391" t="s">
        <v>709</v>
      </c>
      <c r="P11" s="391" t="s">
        <v>596</v>
      </c>
      <c r="Q11" s="391" t="s">
        <v>710</v>
      </c>
      <c r="R11" s="391" t="s">
        <v>711</v>
      </c>
    </row>
    <row r="12" spans="2:18" ht="30">
      <c r="B12" s="186">
        <v>1</v>
      </c>
      <c r="C12" s="148" t="s">
        <v>540</v>
      </c>
      <c r="D12" s="466">
        <v>0</v>
      </c>
      <c r="E12" s="466">
        <v>0</v>
      </c>
      <c r="F12" s="466">
        <v>0</v>
      </c>
      <c r="G12" s="466">
        <v>0</v>
      </c>
      <c r="H12" s="466">
        <v>0</v>
      </c>
      <c r="I12" s="466">
        <v>0</v>
      </c>
      <c r="J12" s="466">
        <v>0</v>
      </c>
      <c r="K12" s="466">
        <v>0</v>
      </c>
      <c r="L12" s="466">
        <v>0</v>
      </c>
      <c r="M12" s="466">
        <v>0</v>
      </c>
      <c r="N12" s="466">
        <v>0</v>
      </c>
      <c r="O12" s="466">
        <v>0</v>
      </c>
      <c r="P12" s="466">
        <v>0</v>
      </c>
      <c r="Q12" s="466">
        <v>0</v>
      </c>
      <c r="R12" s="466">
        <v>0</v>
      </c>
    </row>
    <row r="13" spans="2:18">
      <c r="B13" s="186">
        <f>B12+1</f>
        <v>2</v>
      </c>
      <c r="C13" s="148" t="s">
        <v>537</v>
      </c>
      <c r="D13" s="466">
        <v>0</v>
      </c>
      <c r="E13" s="466">
        <v>0</v>
      </c>
      <c r="F13" s="466">
        <v>0</v>
      </c>
      <c r="G13" s="466">
        <v>0</v>
      </c>
      <c r="H13" s="466">
        <v>0</v>
      </c>
      <c r="I13" s="466">
        <v>0</v>
      </c>
      <c r="J13" s="466">
        <v>0</v>
      </c>
      <c r="K13" s="466">
        <v>0</v>
      </c>
      <c r="L13" s="466">
        <v>0</v>
      </c>
      <c r="M13" s="466">
        <v>0</v>
      </c>
      <c r="N13" s="466">
        <v>0</v>
      </c>
      <c r="O13" s="466">
        <v>0</v>
      </c>
      <c r="P13" s="466">
        <v>0</v>
      </c>
      <c r="Q13" s="466">
        <v>0</v>
      </c>
      <c r="R13" s="466">
        <v>0</v>
      </c>
    </row>
    <row r="14" spans="2:18" ht="30">
      <c r="B14" s="186">
        <f t="shared" ref="B14:B17" si="0">B13+1</f>
        <v>3</v>
      </c>
      <c r="C14" s="148" t="s">
        <v>541</v>
      </c>
      <c r="D14" s="466">
        <v>0</v>
      </c>
      <c r="E14" s="466">
        <v>0</v>
      </c>
      <c r="F14" s="466">
        <v>0</v>
      </c>
      <c r="G14" s="466">
        <v>0</v>
      </c>
      <c r="H14" s="466">
        <v>0</v>
      </c>
      <c r="I14" s="466">
        <v>0</v>
      </c>
      <c r="J14" s="466">
        <v>0</v>
      </c>
      <c r="K14" s="466">
        <v>0</v>
      </c>
      <c r="L14" s="466">
        <v>0</v>
      </c>
      <c r="M14" s="466">
        <v>0</v>
      </c>
      <c r="N14" s="466">
        <v>0</v>
      </c>
      <c r="O14" s="466">
        <v>0</v>
      </c>
      <c r="P14" s="466">
        <v>0</v>
      </c>
      <c r="Q14" s="466">
        <v>0</v>
      </c>
      <c r="R14" s="466">
        <v>0</v>
      </c>
    </row>
    <row r="15" spans="2:18" ht="30">
      <c r="B15" s="186">
        <f t="shared" si="0"/>
        <v>4</v>
      </c>
      <c r="C15" s="148" t="s">
        <v>538</v>
      </c>
      <c r="D15" s="466">
        <v>0</v>
      </c>
      <c r="E15" s="466">
        <v>0</v>
      </c>
      <c r="F15" s="466">
        <v>0</v>
      </c>
      <c r="G15" s="466">
        <v>0</v>
      </c>
      <c r="H15" s="466">
        <v>0</v>
      </c>
      <c r="I15" s="466">
        <v>0</v>
      </c>
      <c r="J15" s="466">
        <v>0</v>
      </c>
      <c r="K15" s="466">
        <v>0</v>
      </c>
      <c r="L15" s="466">
        <v>0</v>
      </c>
      <c r="M15" s="466">
        <v>0</v>
      </c>
      <c r="N15" s="466">
        <v>0</v>
      </c>
      <c r="O15" s="466">
        <v>0</v>
      </c>
      <c r="P15" s="466">
        <v>0</v>
      </c>
      <c r="Q15" s="466">
        <v>0</v>
      </c>
      <c r="R15" s="466">
        <v>0</v>
      </c>
    </row>
    <row r="16" spans="2:18">
      <c r="B16" s="186">
        <f t="shared" si="0"/>
        <v>5</v>
      </c>
      <c r="C16" s="66" t="s">
        <v>539</v>
      </c>
      <c r="D16" s="466">
        <v>0</v>
      </c>
      <c r="E16" s="466">
        <v>0</v>
      </c>
      <c r="F16" s="466">
        <v>0</v>
      </c>
      <c r="G16" s="466">
        <v>0</v>
      </c>
      <c r="H16" s="466">
        <v>0</v>
      </c>
      <c r="I16" s="466">
        <v>0</v>
      </c>
      <c r="J16" s="466">
        <v>0</v>
      </c>
      <c r="K16" s="466">
        <v>0</v>
      </c>
      <c r="L16" s="466">
        <v>0</v>
      </c>
      <c r="M16" s="466">
        <v>0</v>
      </c>
      <c r="N16" s="466">
        <v>0</v>
      </c>
      <c r="O16" s="466">
        <v>0</v>
      </c>
      <c r="P16" s="466">
        <v>0</v>
      </c>
      <c r="Q16" s="466">
        <v>0</v>
      </c>
      <c r="R16" s="466">
        <v>0</v>
      </c>
    </row>
    <row r="17" spans="2:18" ht="30">
      <c r="B17" s="186">
        <f t="shared" si="0"/>
        <v>6</v>
      </c>
      <c r="C17" s="148" t="s">
        <v>542</v>
      </c>
      <c r="D17" s="466">
        <v>0</v>
      </c>
      <c r="E17" s="466">
        <v>0</v>
      </c>
      <c r="F17" s="466">
        <v>0</v>
      </c>
      <c r="G17" s="466">
        <v>0</v>
      </c>
      <c r="H17" s="466">
        <v>0</v>
      </c>
      <c r="I17" s="466">
        <v>0</v>
      </c>
      <c r="J17" s="466">
        <v>0</v>
      </c>
      <c r="K17" s="466">
        <v>0</v>
      </c>
      <c r="L17" s="466">
        <v>0</v>
      </c>
      <c r="M17" s="466">
        <v>0</v>
      </c>
      <c r="N17" s="466">
        <v>0</v>
      </c>
      <c r="O17" s="466">
        <v>0</v>
      </c>
      <c r="P17" s="466">
        <v>0</v>
      </c>
      <c r="Q17" s="466">
        <v>0</v>
      </c>
      <c r="R17" s="466">
        <v>0</v>
      </c>
    </row>
    <row r="18" spans="2:18">
      <c r="B18" s="186"/>
      <c r="C18" s="40"/>
      <c r="D18" s="29"/>
      <c r="E18" s="29"/>
      <c r="F18" s="29"/>
      <c r="G18" s="29"/>
      <c r="H18" s="29"/>
      <c r="I18" s="29"/>
      <c r="J18" s="29"/>
      <c r="K18" s="29"/>
      <c r="L18" s="29"/>
      <c r="M18" s="29"/>
      <c r="N18" s="29"/>
      <c r="O18" s="29"/>
      <c r="P18" s="29"/>
      <c r="Q18" s="29"/>
      <c r="R18" s="29"/>
    </row>
    <row r="19" spans="2:18">
      <c r="B19" s="18"/>
      <c r="N19" s="39"/>
    </row>
    <row r="20" spans="2:18">
      <c r="B20" s="10" t="s">
        <v>374</v>
      </c>
      <c r="C20" s="18" t="s">
        <v>747</v>
      </c>
      <c r="D20" s="410"/>
      <c r="E20" s="410"/>
      <c r="F20" s="410"/>
      <c r="G20" s="410"/>
      <c r="H20" s="410"/>
      <c r="I20" s="410"/>
      <c r="N20" s="39"/>
    </row>
    <row r="21" spans="2:18">
      <c r="B21" s="18"/>
      <c r="N21" s="39"/>
    </row>
    <row r="22" spans="2:18">
      <c r="C22" s="156" t="s">
        <v>258</v>
      </c>
      <c r="N22" s="39"/>
    </row>
    <row r="23" spans="2:18">
      <c r="N23" s="39"/>
      <c r="R23" s="27" t="s">
        <v>16</v>
      </c>
    </row>
    <row r="24" spans="2:18" s="389" customFormat="1">
      <c r="B24" s="1355" t="s">
        <v>157</v>
      </c>
      <c r="C24" s="1358" t="s">
        <v>49</v>
      </c>
      <c r="D24" s="1360" t="s">
        <v>38</v>
      </c>
      <c r="E24" s="1361"/>
      <c r="F24" s="1362"/>
      <c r="G24" s="1360" t="s">
        <v>146</v>
      </c>
      <c r="H24" s="1361"/>
      <c r="I24" s="1362"/>
      <c r="J24" s="1360" t="s">
        <v>147</v>
      </c>
      <c r="K24" s="1361"/>
      <c r="L24" s="1361"/>
      <c r="M24" s="1361"/>
      <c r="N24" s="1362"/>
      <c r="O24" s="1360" t="s">
        <v>148</v>
      </c>
      <c r="P24" s="1362"/>
      <c r="Q24" s="1363" t="s">
        <v>149</v>
      </c>
      <c r="R24" s="1363"/>
    </row>
    <row r="25" spans="2:18" s="389" customFormat="1" ht="28.5">
      <c r="B25" s="1356"/>
      <c r="C25" s="1358"/>
      <c r="D25" s="409" t="s">
        <v>413</v>
      </c>
      <c r="E25" s="391" t="s">
        <v>414</v>
      </c>
      <c r="F25" s="391" t="s">
        <v>415</v>
      </c>
      <c r="G25" s="390" t="s">
        <v>413</v>
      </c>
      <c r="H25" s="391" t="s">
        <v>414</v>
      </c>
      <c r="I25" s="391" t="s">
        <v>415</v>
      </c>
      <c r="J25" s="391" t="s">
        <v>413</v>
      </c>
      <c r="K25" s="391" t="s">
        <v>416</v>
      </c>
      <c r="L25" s="391" t="s">
        <v>335</v>
      </c>
      <c r="M25" s="391" t="s">
        <v>71</v>
      </c>
      <c r="N25" s="391" t="s">
        <v>417</v>
      </c>
      <c r="O25" s="391" t="s">
        <v>413</v>
      </c>
      <c r="P25" s="391" t="s">
        <v>671</v>
      </c>
      <c r="Q25" s="391" t="s">
        <v>413</v>
      </c>
      <c r="R25" s="391" t="s">
        <v>671</v>
      </c>
    </row>
    <row r="26" spans="2:18" s="389" customFormat="1">
      <c r="B26" s="1357"/>
      <c r="C26" s="1359"/>
      <c r="D26" s="391" t="s">
        <v>72</v>
      </c>
      <c r="E26" s="391" t="s">
        <v>73</v>
      </c>
      <c r="F26" s="391" t="s">
        <v>705</v>
      </c>
      <c r="G26" s="391" t="s">
        <v>419</v>
      </c>
      <c r="H26" s="391" t="s">
        <v>420</v>
      </c>
      <c r="I26" s="391" t="s">
        <v>706</v>
      </c>
      <c r="J26" s="391" t="s">
        <v>676</v>
      </c>
      <c r="K26" s="391" t="s">
        <v>593</v>
      </c>
      <c r="L26" s="391" t="s">
        <v>677</v>
      </c>
      <c r="M26" s="391" t="s">
        <v>707</v>
      </c>
      <c r="N26" s="391" t="s">
        <v>708</v>
      </c>
      <c r="O26" s="391" t="s">
        <v>709</v>
      </c>
      <c r="P26" s="391" t="s">
        <v>596</v>
      </c>
      <c r="Q26" s="391" t="s">
        <v>710</v>
      </c>
      <c r="R26" s="391" t="s">
        <v>711</v>
      </c>
    </row>
    <row r="27" spans="2:18" ht="30">
      <c r="B27" s="186">
        <v>1</v>
      </c>
      <c r="C27" s="148" t="s">
        <v>540</v>
      </c>
      <c r="D27" s="466">
        <v>0</v>
      </c>
      <c r="E27" s="466">
        <v>0</v>
      </c>
      <c r="F27" s="466">
        <v>0</v>
      </c>
      <c r="G27" s="466">
        <v>0</v>
      </c>
      <c r="H27" s="466">
        <v>0</v>
      </c>
      <c r="I27" s="466">
        <v>0</v>
      </c>
      <c r="J27" s="466">
        <v>0</v>
      </c>
      <c r="K27" s="466">
        <v>0</v>
      </c>
      <c r="L27" s="466">
        <v>0</v>
      </c>
      <c r="M27" s="466">
        <v>0</v>
      </c>
      <c r="N27" s="466">
        <v>0</v>
      </c>
      <c r="O27" s="466">
        <v>0</v>
      </c>
      <c r="P27" s="466">
        <v>0</v>
      </c>
      <c r="Q27" s="466">
        <v>0</v>
      </c>
      <c r="R27" s="466">
        <v>0</v>
      </c>
    </row>
    <row r="28" spans="2:18">
      <c r="B28" s="186">
        <f>B27+1</f>
        <v>2</v>
      </c>
      <c r="C28" s="148" t="s">
        <v>537</v>
      </c>
      <c r="D28" s="466">
        <v>0</v>
      </c>
      <c r="E28" s="466">
        <v>0</v>
      </c>
      <c r="F28" s="466">
        <v>0</v>
      </c>
      <c r="G28" s="466">
        <v>0</v>
      </c>
      <c r="H28" s="466">
        <v>0</v>
      </c>
      <c r="I28" s="466">
        <v>0</v>
      </c>
      <c r="J28" s="466">
        <v>0</v>
      </c>
      <c r="K28" s="466">
        <v>0</v>
      </c>
      <c r="L28" s="466">
        <v>0</v>
      </c>
      <c r="M28" s="466">
        <v>0</v>
      </c>
      <c r="N28" s="466">
        <v>0</v>
      </c>
      <c r="O28" s="466">
        <v>0</v>
      </c>
      <c r="P28" s="466">
        <v>0</v>
      </c>
      <c r="Q28" s="466">
        <v>0</v>
      </c>
      <c r="R28" s="466">
        <v>0</v>
      </c>
    </row>
    <row r="29" spans="2:18" ht="30">
      <c r="B29" s="186">
        <f t="shared" ref="B29:B32" si="1">B28+1</f>
        <v>3</v>
      </c>
      <c r="C29" s="148" t="s">
        <v>541</v>
      </c>
      <c r="D29" s="466">
        <v>0</v>
      </c>
      <c r="E29" s="466">
        <v>0</v>
      </c>
      <c r="F29" s="466">
        <v>0</v>
      </c>
      <c r="G29" s="466">
        <v>0</v>
      </c>
      <c r="H29" s="466">
        <v>0</v>
      </c>
      <c r="I29" s="466">
        <v>0</v>
      </c>
      <c r="J29" s="466">
        <v>0</v>
      </c>
      <c r="K29" s="466">
        <v>0</v>
      </c>
      <c r="L29" s="466">
        <v>0</v>
      </c>
      <c r="M29" s="466">
        <v>0</v>
      </c>
      <c r="N29" s="466">
        <v>0</v>
      </c>
      <c r="O29" s="466">
        <v>0</v>
      </c>
      <c r="P29" s="466">
        <v>0</v>
      </c>
      <c r="Q29" s="466">
        <v>0</v>
      </c>
      <c r="R29" s="466">
        <v>0</v>
      </c>
    </row>
    <row r="30" spans="2:18" ht="30">
      <c r="B30" s="186">
        <f t="shared" si="1"/>
        <v>4</v>
      </c>
      <c r="C30" s="148" t="s">
        <v>538</v>
      </c>
      <c r="D30" s="466">
        <v>0</v>
      </c>
      <c r="E30" s="466">
        <v>0</v>
      </c>
      <c r="F30" s="466">
        <v>0</v>
      </c>
      <c r="G30" s="466">
        <v>0</v>
      </c>
      <c r="H30" s="466">
        <v>0</v>
      </c>
      <c r="I30" s="466">
        <v>0</v>
      </c>
      <c r="J30" s="466">
        <v>0</v>
      </c>
      <c r="K30" s="466">
        <v>0</v>
      </c>
      <c r="L30" s="466">
        <v>0</v>
      </c>
      <c r="M30" s="466">
        <v>0</v>
      </c>
      <c r="N30" s="466">
        <v>0</v>
      </c>
      <c r="O30" s="466">
        <v>0</v>
      </c>
      <c r="P30" s="466">
        <v>0</v>
      </c>
      <c r="Q30" s="466">
        <v>0</v>
      </c>
      <c r="R30" s="466">
        <v>0</v>
      </c>
    </row>
    <row r="31" spans="2:18">
      <c r="B31" s="186">
        <f t="shared" si="1"/>
        <v>5</v>
      </c>
      <c r="C31" s="66" t="s">
        <v>539</v>
      </c>
      <c r="D31" s="466">
        <v>0</v>
      </c>
      <c r="E31" s="466">
        <v>0</v>
      </c>
      <c r="F31" s="466">
        <v>0</v>
      </c>
      <c r="G31" s="466">
        <v>0</v>
      </c>
      <c r="H31" s="466">
        <v>0</v>
      </c>
      <c r="I31" s="466">
        <v>0</v>
      </c>
      <c r="J31" s="466">
        <v>0</v>
      </c>
      <c r="K31" s="466">
        <v>0</v>
      </c>
      <c r="L31" s="466">
        <v>0</v>
      </c>
      <c r="M31" s="466">
        <v>0</v>
      </c>
      <c r="N31" s="466">
        <v>0</v>
      </c>
      <c r="O31" s="466">
        <v>0</v>
      </c>
      <c r="P31" s="466">
        <v>0</v>
      </c>
      <c r="Q31" s="466">
        <v>0</v>
      </c>
      <c r="R31" s="466">
        <v>0</v>
      </c>
    </row>
    <row r="32" spans="2:18" ht="30">
      <c r="B32" s="186">
        <f t="shared" si="1"/>
        <v>6</v>
      </c>
      <c r="C32" s="148" t="s">
        <v>542</v>
      </c>
      <c r="D32" s="466">
        <v>0</v>
      </c>
      <c r="E32" s="466">
        <v>0</v>
      </c>
      <c r="F32" s="466">
        <v>0</v>
      </c>
      <c r="G32" s="466">
        <v>0</v>
      </c>
      <c r="H32" s="466">
        <v>0</v>
      </c>
      <c r="I32" s="466">
        <v>0</v>
      </c>
      <c r="J32" s="466">
        <v>0</v>
      </c>
      <c r="K32" s="466">
        <v>0</v>
      </c>
      <c r="L32" s="466">
        <v>0</v>
      </c>
      <c r="M32" s="466">
        <v>0</v>
      </c>
      <c r="N32" s="466">
        <v>0</v>
      </c>
      <c r="O32" s="466">
        <v>0</v>
      </c>
      <c r="P32" s="466">
        <v>0</v>
      </c>
      <c r="Q32" s="466">
        <v>0</v>
      </c>
      <c r="R32" s="466">
        <v>0</v>
      </c>
    </row>
    <row r="33" spans="2:14">
      <c r="N33" s="39"/>
    </row>
    <row r="34" spans="2:14">
      <c r="B34" s="10" t="s">
        <v>374</v>
      </c>
      <c r="C34" s="18" t="s">
        <v>747</v>
      </c>
      <c r="N34" s="39"/>
    </row>
    <row r="35" spans="2:14">
      <c r="N35" s="39"/>
    </row>
    <row r="36" spans="2:14">
      <c r="N36" s="39"/>
    </row>
    <row r="37" spans="2:14">
      <c r="N37" s="39"/>
    </row>
    <row r="38" spans="2:14">
      <c r="N38" s="39"/>
    </row>
    <row r="39" spans="2:14">
      <c r="N39" s="39"/>
    </row>
    <row r="40" spans="2:14">
      <c r="N40" s="39"/>
    </row>
    <row r="41" spans="2:14">
      <c r="N41" s="39"/>
    </row>
    <row r="42" spans="2:14">
      <c r="N42" s="39"/>
    </row>
  </sheetData>
  <mergeCells count="14">
    <mergeCell ref="O9:P9"/>
    <mergeCell ref="Q9:R9"/>
    <mergeCell ref="O24:P24"/>
    <mergeCell ref="Q24:R24"/>
    <mergeCell ref="B9:B11"/>
    <mergeCell ref="C9:C11"/>
    <mergeCell ref="D9:F9"/>
    <mergeCell ref="G9:I9"/>
    <mergeCell ref="J9:N9"/>
    <mergeCell ref="B24:B26"/>
    <mergeCell ref="C24:C26"/>
    <mergeCell ref="D24:F24"/>
    <mergeCell ref="G24:I24"/>
    <mergeCell ref="J24:N24"/>
  </mergeCells>
  <pageMargins left="0.75" right="0.75" top="1" bottom="1" header="0.5" footer="0.5"/>
  <pageSetup paperSize="9" scale="36"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C000"/>
    <pageSetUpPr fitToPage="1"/>
  </sheetPr>
  <dimension ref="B2:R35"/>
  <sheetViews>
    <sheetView showGridLines="0" view="pageBreakPreview" topLeftCell="G17" zoomScaleNormal="75" zoomScaleSheetLayoutView="100" workbookViewId="0">
      <selection activeCell="C11" sqref="C11:C12"/>
    </sheetView>
  </sheetViews>
  <sheetFormatPr defaultColWidth="9.140625" defaultRowHeight="15"/>
  <cols>
    <col min="1" max="1" width="6.85546875" style="18" customWidth="1"/>
    <col min="2" max="2" width="9.140625" style="91" customWidth="1"/>
    <col min="3" max="3" width="55.28515625" style="72" customWidth="1"/>
    <col min="4" max="4" width="18.140625" style="18" customWidth="1"/>
    <col min="5" max="6" width="19.140625" style="18" customWidth="1"/>
    <col min="7" max="7" width="13.85546875" style="18" customWidth="1"/>
    <col min="8" max="8" width="16" style="18" customWidth="1"/>
    <col min="9" max="9" width="15.28515625" style="18" customWidth="1"/>
    <col min="10" max="10" width="15.140625" style="18" customWidth="1"/>
    <col min="11" max="11" width="14.7109375" style="18" hidden="1" customWidth="1"/>
    <col min="12" max="12" width="17.7109375" style="18" hidden="1" customWidth="1"/>
    <col min="13" max="13" width="16.28515625" style="18" customWidth="1"/>
    <col min="14" max="14" width="18.42578125" style="18" customWidth="1"/>
    <col min="15" max="15" width="16.7109375" style="18" customWidth="1"/>
    <col min="16" max="16" width="15.7109375" style="18" customWidth="1"/>
    <col min="17" max="17" width="17.28515625" style="18" customWidth="1"/>
    <col min="18" max="18" width="17.140625" style="18" customWidth="1"/>
    <col min="19" max="16384" width="9.140625" style="18"/>
  </cols>
  <sheetData>
    <row r="2" spans="2:18">
      <c r="C2" s="227"/>
      <c r="D2" s="182"/>
      <c r="E2" s="182"/>
      <c r="F2" s="182"/>
      <c r="G2" s="375" t="s">
        <v>906</v>
      </c>
      <c r="H2" s="182"/>
      <c r="I2" s="37"/>
      <c r="J2" s="37"/>
      <c r="K2" s="37"/>
      <c r="L2" s="37"/>
      <c r="M2" s="37"/>
    </row>
    <row r="3" spans="2:18" s="155" customFormat="1">
      <c r="B3" s="74"/>
      <c r="C3" s="309"/>
      <c r="D3" s="181"/>
      <c r="E3" s="181"/>
      <c r="F3" s="181"/>
      <c r="G3" s="373" t="s">
        <v>722</v>
      </c>
      <c r="H3" s="181"/>
      <c r="I3" s="39"/>
      <c r="J3" s="39"/>
      <c r="K3" s="39"/>
      <c r="L3" s="39"/>
      <c r="M3" s="38"/>
    </row>
    <row r="4" spans="2:18" s="155" customFormat="1">
      <c r="B4" s="74"/>
      <c r="C4" s="308"/>
      <c r="D4" s="70"/>
      <c r="E4" s="70"/>
      <c r="F4" s="70"/>
      <c r="G4" s="62" t="s">
        <v>507</v>
      </c>
      <c r="H4" s="70"/>
      <c r="I4" s="70"/>
      <c r="J4" s="70"/>
      <c r="K4" s="70"/>
      <c r="L4" s="70"/>
      <c r="M4" s="70"/>
    </row>
    <row r="5" spans="2:18" s="155" customFormat="1">
      <c r="B5" s="277"/>
      <c r="C5" s="307"/>
      <c r="D5" s="62"/>
      <c r="E5" s="62"/>
      <c r="F5" s="62"/>
      <c r="G5" s="62"/>
      <c r="H5" s="62"/>
      <c r="I5" s="70"/>
      <c r="J5" s="70"/>
      <c r="K5" s="70"/>
      <c r="L5" s="70"/>
      <c r="M5" s="70"/>
    </row>
    <row r="6" spans="2:18" s="155" customFormat="1">
      <c r="B6" s="321"/>
      <c r="C6" s="156" t="s">
        <v>325</v>
      </c>
      <c r="D6" s="62"/>
      <c r="E6" s="62"/>
      <c r="F6" s="62"/>
      <c r="G6" s="62"/>
      <c r="H6" s="62"/>
      <c r="I6" s="70"/>
      <c r="J6" s="70"/>
      <c r="K6" s="70"/>
      <c r="L6" s="70"/>
      <c r="M6" s="70"/>
    </row>
    <row r="7" spans="2:18" s="155" customFormat="1">
      <c r="B7" s="321"/>
      <c r="C7" s="307"/>
      <c r="D7" s="62"/>
      <c r="E7" s="62"/>
      <c r="F7" s="62"/>
      <c r="G7" s="62"/>
      <c r="H7" s="62"/>
      <c r="I7" s="70"/>
      <c r="J7" s="70"/>
      <c r="K7" s="70"/>
      <c r="L7" s="70"/>
      <c r="M7" s="70"/>
      <c r="R7" s="10" t="s">
        <v>16</v>
      </c>
    </row>
    <row r="8" spans="2:18" s="389" customFormat="1">
      <c r="B8" s="1355" t="s">
        <v>157</v>
      </c>
      <c r="C8" s="1358" t="s">
        <v>49</v>
      </c>
      <c r="D8" s="1360" t="s">
        <v>38</v>
      </c>
      <c r="E8" s="1361"/>
      <c r="F8" s="1362"/>
      <c r="G8" s="1360" t="s">
        <v>146</v>
      </c>
      <c r="H8" s="1361"/>
      <c r="I8" s="1362"/>
      <c r="J8" s="1360" t="s">
        <v>147</v>
      </c>
      <c r="K8" s="1361"/>
      <c r="L8" s="1361"/>
      <c r="M8" s="1361"/>
      <c r="N8" s="1362"/>
      <c r="O8" s="1360" t="s">
        <v>148</v>
      </c>
      <c r="P8" s="1362"/>
      <c r="Q8" s="1363" t="s">
        <v>149</v>
      </c>
      <c r="R8" s="1363"/>
    </row>
    <row r="9" spans="2:18" s="389" customFormat="1" ht="43.5" customHeight="1">
      <c r="B9" s="1356"/>
      <c r="C9" s="1358"/>
      <c r="D9" s="409" t="s">
        <v>413</v>
      </c>
      <c r="E9" s="391" t="s">
        <v>414</v>
      </c>
      <c r="F9" s="391" t="s">
        <v>415</v>
      </c>
      <c r="G9" s="390" t="s">
        <v>413</v>
      </c>
      <c r="H9" s="391" t="s">
        <v>414</v>
      </c>
      <c r="I9" s="391" t="s">
        <v>415</v>
      </c>
      <c r="J9" s="391" t="s">
        <v>413</v>
      </c>
      <c r="K9" s="391" t="s">
        <v>416</v>
      </c>
      <c r="L9" s="391" t="s">
        <v>335</v>
      </c>
      <c r="M9" s="391" t="s">
        <v>71</v>
      </c>
      <c r="N9" s="391" t="s">
        <v>417</v>
      </c>
      <c r="O9" s="391" t="s">
        <v>413</v>
      </c>
      <c r="P9" s="391" t="s">
        <v>671</v>
      </c>
      <c r="Q9" s="391" t="s">
        <v>413</v>
      </c>
      <c r="R9" s="391" t="s">
        <v>671</v>
      </c>
    </row>
    <row r="10" spans="2:18" s="389" customFormat="1" ht="26.25" customHeight="1">
      <c r="B10" s="1357"/>
      <c r="C10" s="1359"/>
      <c r="D10" s="391" t="s">
        <v>72</v>
      </c>
      <c r="E10" s="391" t="s">
        <v>73</v>
      </c>
      <c r="F10" s="391" t="s">
        <v>705</v>
      </c>
      <c r="G10" s="391" t="s">
        <v>419</v>
      </c>
      <c r="H10" s="391" t="s">
        <v>420</v>
      </c>
      <c r="I10" s="391" t="s">
        <v>706</v>
      </c>
      <c r="J10" s="391" t="s">
        <v>676</v>
      </c>
      <c r="K10" s="391" t="s">
        <v>593</v>
      </c>
      <c r="L10" s="391" t="s">
        <v>677</v>
      </c>
      <c r="M10" s="391" t="s">
        <v>707</v>
      </c>
      <c r="N10" s="391" t="s">
        <v>708</v>
      </c>
      <c r="O10" s="391" t="s">
        <v>709</v>
      </c>
      <c r="P10" s="391" t="s">
        <v>596</v>
      </c>
      <c r="Q10" s="391" t="s">
        <v>710</v>
      </c>
      <c r="R10" s="391" t="s">
        <v>711</v>
      </c>
    </row>
    <row r="11" spans="2:18">
      <c r="B11" s="322">
        <v>1</v>
      </c>
      <c r="C11" s="323" t="s">
        <v>530</v>
      </c>
      <c r="D11" s="764">
        <v>0</v>
      </c>
      <c r="E11" s="763">
        <v>0</v>
      </c>
      <c r="F11" s="763">
        <f>E11-D11</f>
        <v>0</v>
      </c>
      <c r="G11" s="767">
        <f>D14</f>
        <v>0.2165</v>
      </c>
      <c r="H11" s="765">
        <f>E16</f>
        <v>0.21650000000000003</v>
      </c>
      <c r="I11" s="766">
        <f>H11-G11</f>
        <v>0</v>
      </c>
      <c r="J11" s="765">
        <f>G16</f>
        <v>0.44969999999999999</v>
      </c>
      <c r="K11" s="324"/>
      <c r="L11" s="768"/>
      <c r="M11" s="773">
        <f>H16</f>
        <v>0.47094223550278458</v>
      </c>
      <c r="N11" s="774">
        <f>M11-J11</f>
        <v>2.124223550278459E-2</v>
      </c>
      <c r="O11" s="776">
        <f>J16</f>
        <v>0.68664999999999998</v>
      </c>
      <c r="P11" s="776">
        <f>M16</f>
        <v>0.72803561517310689</v>
      </c>
      <c r="Q11" s="776">
        <f>O16</f>
        <v>0.94179999999999997</v>
      </c>
      <c r="R11" s="776">
        <f>P16</f>
        <v>0.9851289948434292</v>
      </c>
    </row>
    <row r="12" spans="2:18">
      <c r="B12" s="322">
        <f t="shared" ref="B12:B17" si="0">B11+1</f>
        <v>2</v>
      </c>
      <c r="C12" s="323" t="s">
        <v>531</v>
      </c>
      <c r="D12" s="943">
        <v>43.3</v>
      </c>
      <c r="E12" s="1179">
        <f>'F5.1'!D21</f>
        <v>43.300000000000004</v>
      </c>
      <c r="F12" s="1179">
        <f t="shared" ref="F12:F16" si="1">E12-D12</f>
        <v>0</v>
      </c>
      <c r="G12" s="1180">
        <v>46.64</v>
      </c>
      <c r="H12" s="1181">
        <f>'F5.1'!H21</f>
        <v>50.88844710055691</v>
      </c>
      <c r="I12" s="1181">
        <f t="shared" ref="I12:I16" si="2">H12-G12</f>
        <v>4.2484471005569091</v>
      </c>
      <c r="J12" s="1179">
        <v>47.39</v>
      </c>
      <c r="K12" s="1182"/>
      <c r="L12" s="1183"/>
      <c r="M12" s="1184">
        <f>'F5.1'!L21</f>
        <v>51.418675934064446</v>
      </c>
      <c r="N12" s="1184">
        <f t="shared" ref="N12:N16" si="3">M12-J12</f>
        <v>4.0286759340644451</v>
      </c>
      <c r="O12" s="1185">
        <v>51.03</v>
      </c>
      <c r="P12" s="1186">
        <f>'F5.1'!D33</f>
        <v>51.418675934064446</v>
      </c>
      <c r="Q12" s="1185">
        <v>53.99</v>
      </c>
      <c r="R12" s="1186">
        <f>'F5.1'!H33</f>
        <v>52.738675934064446</v>
      </c>
    </row>
    <row r="13" spans="2:18" ht="30">
      <c r="B13" s="322">
        <f t="shared" si="0"/>
        <v>3</v>
      </c>
      <c r="C13" s="323" t="s">
        <v>532</v>
      </c>
      <c r="D13" s="760">
        <f>D11/D12</f>
        <v>0</v>
      </c>
      <c r="E13" s="760">
        <f>E11/E12</f>
        <v>0</v>
      </c>
      <c r="F13" s="763"/>
      <c r="G13" s="760">
        <f>G11/G12</f>
        <v>4.6419382504288165E-3</v>
      </c>
      <c r="H13" s="760">
        <f>H11/H12</f>
        <v>4.2544037465358361E-3</v>
      </c>
      <c r="I13" s="766"/>
      <c r="J13" s="760">
        <f>J11/J12</f>
        <v>9.4893437434057822E-3</v>
      </c>
      <c r="K13" s="324"/>
      <c r="L13" s="325"/>
      <c r="M13" s="760">
        <f>M11/M12</f>
        <v>9.1589724345816775E-3</v>
      </c>
      <c r="N13" s="774"/>
      <c r="O13" s="760">
        <f>O11/O12</f>
        <v>1.3455810307662158E-2</v>
      </c>
      <c r="P13" s="760">
        <f>P11/P12</f>
        <v>1.415897243458168E-2</v>
      </c>
      <c r="Q13" s="760">
        <f>Q11/Q12</f>
        <v>1.7443971105760323E-2</v>
      </c>
      <c r="R13" s="760">
        <f>R11/R12</f>
        <v>1.8679441176624692E-2</v>
      </c>
    </row>
    <row r="14" spans="2:18">
      <c r="B14" s="322">
        <f t="shared" si="0"/>
        <v>4</v>
      </c>
      <c r="C14" s="323" t="s">
        <v>533</v>
      </c>
      <c r="D14" s="772">
        <f>D12*0.5%</f>
        <v>0.2165</v>
      </c>
      <c r="E14" s="772">
        <f>E12*0.5%</f>
        <v>0.21650000000000003</v>
      </c>
      <c r="F14" s="770">
        <f t="shared" si="1"/>
        <v>0</v>
      </c>
      <c r="G14" s="772">
        <f>G12*0.5%</f>
        <v>0.23320000000000002</v>
      </c>
      <c r="H14" s="772">
        <f>H12*0.5%</f>
        <v>0.25444223550278455</v>
      </c>
      <c r="I14" s="771">
        <f t="shared" si="2"/>
        <v>2.1242235502784534E-2</v>
      </c>
      <c r="J14" s="772">
        <f>J12*0.5%</f>
        <v>0.23694999999999999</v>
      </c>
      <c r="K14" s="324"/>
      <c r="L14" s="325"/>
      <c r="M14" s="772">
        <f>M12*0.5%</f>
        <v>0.25709337967032225</v>
      </c>
      <c r="N14" s="775">
        <f t="shared" si="3"/>
        <v>2.0143379670322259E-2</v>
      </c>
      <c r="O14" s="772">
        <f>O12*0.5%</f>
        <v>0.25514999999999999</v>
      </c>
      <c r="P14" s="772">
        <f>P12*0.5%</f>
        <v>0.25709337967032225</v>
      </c>
      <c r="Q14" s="772">
        <f>Q12*0.5%</f>
        <v>0.26995000000000002</v>
      </c>
      <c r="R14" s="772">
        <f>R12*0.5%</f>
        <v>0.26369337967032225</v>
      </c>
    </row>
    <row r="15" spans="2:18">
      <c r="B15" s="322">
        <f t="shared" si="0"/>
        <v>5</v>
      </c>
      <c r="C15" s="323" t="s">
        <v>534</v>
      </c>
      <c r="D15" s="759">
        <v>0</v>
      </c>
      <c r="E15" s="759">
        <v>0</v>
      </c>
      <c r="F15" s="763">
        <f t="shared" si="1"/>
        <v>0</v>
      </c>
      <c r="G15" s="759">
        <v>0</v>
      </c>
      <c r="H15" s="759">
        <v>0</v>
      </c>
      <c r="I15" s="766">
        <f t="shared" si="2"/>
        <v>0</v>
      </c>
      <c r="J15" s="759">
        <v>0</v>
      </c>
      <c r="K15" s="324"/>
      <c r="L15" s="325"/>
      <c r="M15" s="759">
        <v>0</v>
      </c>
      <c r="N15" s="775">
        <f t="shared" si="3"/>
        <v>0</v>
      </c>
      <c r="O15" s="759">
        <v>0</v>
      </c>
      <c r="P15" s="759">
        <v>0</v>
      </c>
      <c r="Q15" s="759">
        <v>0</v>
      </c>
      <c r="R15" s="759">
        <v>0</v>
      </c>
    </row>
    <row r="16" spans="2:18">
      <c r="B16" s="322">
        <f t="shared" si="0"/>
        <v>6</v>
      </c>
      <c r="C16" s="323" t="s">
        <v>535</v>
      </c>
      <c r="D16" s="769">
        <f>D11+D14-D15</f>
        <v>0.2165</v>
      </c>
      <c r="E16" s="769">
        <f>E11+E14-E15</f>
        <v>0.21650000000000003</v>
      </c>
      <c r="F16" s="770">
        <f t="shared" si="1"/>
        <v>0</v>
      </c>
      <c r="G16" s="769">
        <f>G11+G14-G15</f>
        <v>0.44969999999999999</v>
      </c>
      <c r="H16" s="769">
        <f>H11+H14-H15</f>
        <v>0.47094223550278458</v>
      </c>
      <c r="I16" s="771">
        <f t="shared" si="2"/>
        <v>2.124223550278459E-2</v>
      </c>
      <c r="J16" s="769">
        <f>J11+J14-J15</f>
        <v>0.68664999999999998</v>
      </c>
      <c r="K16" s="324"/>
      <c r="L16" s="324"/>
      <c r="M16" s="769">
        <f>M11+M14-M15</f>
        <v>0.72803561517310689</v>
      </c>
      <c r="N16" s="775">
        <f t="shared" si="3"/>
        <v>4.1385615173106904E-2</v>
      </c>
      <c r="O16" s="769">
        <f>O11+O14-O15</f>
        <v>0.94179999999999997</v>
      </c>
      <c r="P16" s="769">
        <f>P11+P14-P15</f>
        <v>0.9851289948434292</v>
      </c>
      <c r="Q16" s="769">
        <f>Q11+Q14-Q15</f>
        <v>1.2117499999999999</v>
      </c>
      <c r="R16" s="769">
        <f>R11+R14-R15</f>
        <v>1.2488223745137514</v>
      </c>
    </row>
    <row r="17" spans="2:18" ht="30">
      <c r="B17" s="322">
        <f t="shared" si="0"/>
        <v>7</v>
      </c>
      <c r="C17" s="323" t="s">
        <v>536</v>
      </c>
      <c r="D17" s="760">
        <f>D16/D12</f>
        <v>5.0000000000000001E-3</v>
      </c>
      <c r="E17" s="760">
        <f>E16/E12</f>
        <v>5.0000000000000001E-3</v>
      </c>
      <c r="F17" s="763"/>
      <c r="G17" s="760">
        <f>G16/G12</f>
        <v>9.6419382504288158E-3</v>
      </c>
      <c r="H17" s="760">
        <f>H16/H12</f>
        <v>9.2544037465358362E-3</v>
      </c>
      <c r="I17" s="766"/>
      <c r="J17" s="760">
        <f>J16/J12</f>
        <v>1.4489343743405781E-2</v>
      </c>
      <c r="K17" s="324"/>
      <c r="L17" s="324"/>
      <c r="M17" s="760">
        <f>M16/M12</f>
        <v>1.415897243458168E-2</v>
      </c>
      <c r="N17" s="324"/>
      <c r="O17" s="760">
        <f>O16/O12</f>
        <v>1.8455810307662159E-2</v>
      </c>
      <c r="P17" s="760">
        <f>P16/P12</f>
        <v>1.9158972434581683E-2</v>
      </c>
      <c r="Q17" s="760">
        <f>Q16/Q12</f>
        <v>2.2443971105760324E-2</v>
      </c>
      <c r="R17" s="760">
        <f>R16/R12</f>
        <v>2.3679441176624693E-2</v>
      </c>
    </row>
    <row r="19" spans="2:18">
      <c r="B19" s="10" t="s">
        <v>374</v>
      </c>
      <c r="C19" s="18" t="s">
        <v>747</v>
      </c>
    </row>
    <row r="20" spans="2:18">
      <c r="B20" s="10"/>
      <c r="C20" s="18"/>
    </row>
    <row r="21" spans="2:18">
      <c r="C21" s="156" t="s">
        <v>258</v>
      </c>
    </row>
    <row r="23" spans="2:18" s="155" customFormat="1">
      <c r="B23" s="373"/>
      <c r="C23" s="307"/>
      <c r="D23" s="62"/>
      <c r="E23" s="62"/>
      <c r="F23" s="62"/>
      <c r="G23" s="62"/>
      <c r="H23" s="62"/>
      <c r="I23" s="70"/>
      <c r="J23" s="70"/>
      <c r="K23" s="70"/>
      <c r="L23" s="70"/>
      <c r="M23" s="70"/>
      <c r="R23" s="10" t="s">
        <v>16</v>
      </c>
    </row>
    <row r="24" spans="2:18" s="389" customFormat="1">
      <c r="B24" s="1355" t="s">
        <v>157</v>
      </c>
      <c r="C24" s="1358" t="s">
        <v>49</v>
      </c>
      <c r="D24" s="1360" t="s">
        <v>38</v>
      </c>
      <c r="E24" s="1361"/>
      <c r="F24" s="1362"/>
      <c r="G24" s="1360" t="s">
        <v>146</v>
      </c>
      <c r="H24" s="1361"/>
      <c r="I24" s="1362"/>
      <c r="J24" s="1360" t="s">
        <v>147</v>
      </c>
      <c r="K24" s="1361"/>
      <c r="L24" s="1361"/>
      <c r="M24" s="1361"/>
      <c r="N24" s="1362"/>
      <c r="O24" s="1360" t="s">
        <v>148</v>
      </c>
      <c r="P24" s="1362"/>
      <c r="Q24" s="1363" t="s">
        <v>149</v>
      </c>
      <c r="R24" s="1363"/>
    </row>
    <row r="25" spans="2:18" s="389" customFormat="1" ht="45.75" customHeight="1">
      <c r="B25" s="1356"/>
      <c r="C25" s="1358"/>
      <c r="D25" s="409" t="s">
        <v>413</v>
      </c>
      <c r="E25" s="391" t="s">
        <v>414</v>
      </c>
      <c r="F25" s="391" t="s">
        <v>415</v>
      </c>
      <c r="G25" s="390" t="s">
        <v>413</v>
      </c>
      <c r="H25" s="391" t="s">
        <v>414</v>
      </c>
      <c r="I25" s="391" t="s">
        <v>415</v>
      </c>
      <c r="J25" s="391" t="s">
        <v>413</v>
      </c>
      <c r="K25" s="391" t="s">
        <v>416</v>
      </c>
      <c r="L25" s="391" t="s">
        <v>335</v>
      </c>
      <c r="M25" s="391" t="s">
        <v>71</v>
      </c>
      <c r="N25" s="391" t="s">
        <v>417</v>
      </c>
      <c r="O25" s="391" t="s">
        <v>413</v>
      </c>
      <c r="P25" s="391" t="s">
        <v>671</v>
      </c>
      <c r="Q25" s="391" t="s">
        <v>413</v>
      </c>
      <c r="R25" s="391" t="s">
        <v>671</v>
      </c>
    </row>
    <row r="26" spans="2:18" s="389" customFormat="1" ht="18" customHeight="1">
      <c r="B26" s="1357"/>
      <c r="C26" s="1359"/>
      <c r="D26" s="391" t="s">
        <v>72</v>
      </c>
      <c r="E26" s="391" t="s">
        <v>73</v>
      </c>
      <c r="F26" s="391" t="s">
        <v>705</v>
      </c>
      <c r="G26" s="391" t="s">
        <v>419</v>
      </c>
      <c r="H26" s="391" t="s">
        <v>420</v>
      </c>
      <c r="I26" s="391" t="s">
        <v>706</v>
      </c>
      <c r="J26" s="391" t="s">
        <v>676</v>
      </c>
      <c r="K26" s="391" t="s">
        <v>593</v>
      </c>
      <c r="L26" s="391" t="s">
        <v>677</v>
      </c>
      <c r="M26" s="391" t="s">
        <v>707</v>
      </c>
      <c r="N26" s="391" t="s">
        <v>708</v>
      </c>
      <c r="O26" s="391" t="s">
        <v>709</v>
      </c>
      <c r="P26" s="391" t="s">
        <v>596</v>
      </c>
      <c r="Q26" s="391" t="s">
        <v>710</v>
      </c>
      <c r="R26" s="391" t="s">
        <v>711</v>
      </c>
    </row>
    <row r="27" spans="2:18" ht="15.75">
      <c r="B27" s="322">
        <v>1</v>
      </c>
      <c r="C27" s="323" t="s">
        <v>530</v>
      </c>
      <c r="D27" s="762">
        <v>0</v>
      </c>
      <c r="E27" s="763">
        <v>0</v>
      </c>
      <c r="F27" s="763"/>
      <c r="G27" s="777">
        <f>D32</f>
        <v>7.0999999999999995E-3</v>
      </c>
      <c r="H27" s="778">
        <f>E32</f>
        <v>7.0999999999999995E-3</v>
      </c>
      <c r="I27" s="761">
        <f>H27-G27</f>
        <v>0</v>
      </c>
      <c r="J27" s="778">
        <f>G32</f>
        <v>1.635E-2</v>
      </c>
      <c r="K27" s="763"/>
      <c r="L27" s="779"/>
      <c r="M27" s="780">
        <f>H32</f>
        <v>1.5444294997215464E-2</v>
      </c>
      <c r="N27" s="781">
        <f>M27-J27</f>
        <v>-9.057050027845362E-4</v>
      </c>
      <c r="O27" s="782">
        <f>J32</f>
        <v>2.5600000000000001E-2</v>
      </c>
      <c r="P27" s="782">
        <f>M32</f>
        <v>2.3875532826893239E-2</v>
      </c>
      <c r="Q27" s="783">
        <f>O32</f>
        <v>3.49E-2</v>
      </c>
      <c r="R27" s="783">
        <f>P32</f>
        <v>3.2306770656571018E-2</v>
      </c>
    </row>
    <row r="28" spans="2:18" ht="15.75">
      <c r="B28" s="322">
        <f t="shared" ref="B28:B33" si="4">B27+1</f>
        <v>2</v>
      </c>
      <c r="C28" s="323" t="s">
        <v>531</v>
      </c>
      <c r="D28" s="762">
        <v>1.42</v>
      </c>
      <c r="E28" s="1179">
        <f>'F5.2'!D21</f>
        <v>1.42</v>
      </c>
      <c r="F28" s="1179">
        <f>E28-D28</f>
        <v>0</v>
      </c>
      <c r="G28" s="762">
        <v>1.85</v>
      </c>
      <c r="H28" s="1187">
        <f>'F5.2'!H21</f>
        <v>1.6688589994430929</v>
      </c>
      <c r="I28" s="1188">
        <f>H28-G28</f>
        <v>-0.18114100055690718</v>
      </c>
      <c r="J28" s="1179">
        <v>1.85</v>
      </c>
      <c r="K28" s="1179"/>
      <c r="L28" s="1189"/>
      <c r="M28" s="1190">
        <f>'F5.2'!L21</f>
        <v>1.6862475659355549</v>
      </c>
      <c r="N28" s="1187">
        <f t="shared" ref="N28:N32" si="5">M28-J28</f>
        <v>-0.16375243406444517</v>
      </c>
      <c r="O28" s="1191">
        <v>1.86</v>
      </c>
      <c r="P28" s="1192">
        <f>'F5.2'!D33</f>
        <v>1.6862475659355549</v>
      </c>
      <c r="Q28" s="1193">
        <v>1.87</v>
      </c>
      <c r="R28" s="1194">
        <f>'F5.2'!H33</f>
        <v>1.6862475659355549</v>
      </c>
    </row>
    <row r="29" spans="2:18" ht="30">
      <c r="B29" s="322">
        <f t="shared" si="4"/>
        <v>3</v>
      </c>
      <c r="C29" s="323" t="s">
        <v>532</v>
      </c>
      <c r="D29" s="760">
        <f>D27/D28</f>
        <v>0</v>
      </c>
      <c r="E29" s="760">
        <f>E27/E28</f>
        <v>0</v>
      </c>
      <c r="F29" s="763"/>
      <c r="G29" s="760">
        <f>G27/G28</f>
        <v>3.8378378378378375E-3</v>
      </c>
      <c r="H29" s="760">
        <f>H27/H28</f>
        <v>4.2544037587173671E-3</v>
      </c>
      <c r="I29" s="761"/>
      <c r="J29" s="760">
        <f>J27/J28</f>
        <v>8.8378378378378367E-3</v>
      </c>
      <c r="K29" s="763"/>
      <c r="L29" s="779"/>
      <c r="M29" s="760">
        <f>M27/M28</f>
        <v>9.1589724481806693E-3</v>
      </c>
      <c r="N29" s="781"/>
      <c r="O29" s="760">
        <f>O27/O28</f>
        <v>1.3763440860215054E-2</v>
      </c>
      <c r="P29" s="760">
        <f>P27/P28</f>
        <v>1.415897244818067E-2</v>
      </c>
      <c r="Q29" s="760">
        <f>Q27/Q28</f>
        <v>1.8663101604278073E-2</v>
      </c>
      <c r="R29" s="760">
        <f>R27/R28</f>
        <v>1.9158972448180673E-2</v>
      </c>
    </row>
    <row r="30" spans="2:18">
      <c r="B30" s="322">
        <f t="shared" si="4"/>
        <v>4</v>
      </c>
      <c r="C30" s="323" t="s">
        <v>533</v>
      </c>
      <c r="D30" s="772">
        <f>D28*0.5%</f>
        <v>7.0999999999999995E-3</v>
      </c>
      <c r="E30" s="772">
        <f>E28*0.5%</f>
        <v>7.0999999999999995E-3</v>
      </c>
      <c r="F30" s="763">
        <f t="shared" ref="F30:F32" si="6">E30-D30</f>
        <v>0</v>
      </c>
      <c r="G30" s="772">
        <f>G28*0.5%</f>
        <v>9.2500000000000013E-3</v>
      </c>
      <c r="H30" s="772">
        <f>H28*0.5%</f>
        <v>8.3442949972154651E-3</v>
      </c>
      <c r="I30" s="761">
        <f t="shared" ref="I30:I32" si="7">H30-G30</f>
        <v>-9.057050027845362E-4</v>
      </c>
      <c r="J30" s="772">
        <f>J28*0.5%</f>
        <v>9.2500000000000013E-3</v>
      </c>
      <c r="K30" s="763"/>
      <c r="L30" s="779"/>
      <c r="M30" s="772">
        <f>M28*0.5%</f>
        <v>8.4312378296777755E-3</v>
      </c>
      <c r="N30" s="781">
        <f t="shared" si="5"/>
        <v>-8.1876217032222573E-4</v>
      </c>
      <c r="O30" s="772">
        <f>O28*0.5%</f>
        <v>9.300000000000001E-3</v>
      </c>
      <c r="P30" s="772">
        <f>P28*0.5%</f>
        <v>8.4312378296777755E-3</v>
      </c>
      <c r="Q30" s="772">
        <f>Q28*0.5%</f>
        <v>9.3500000000000007E-3</v>
      </c>
      <c r="R30" s="772">
        <f>R28*0.5%</f>
        <v>8.4312378296777755E-3</v>
      </c>
    </row>
    <row r="31" spans="2:18">
      <c r="B31" s="322">
        <f t="shared" si="4"/>
        <v>5</v>
      </c>
      <c r="C31" s="323" t="s">
        <v>534</v>
      </c>
      <c r="D31" s="761">
        <v>0</v>
      </c>
      <c r="E31" s="761">
        <v>0</v>
      </c>
      <c r="F31" s="763">
        <f t="shared" si="6"/>
        <v>0</v>
      </c>
      <c r="G31" s="761">
        <v>0</v>
      </c>
      <c r="H31" s="761">
        <v>0</v>
      </c>
      <c r="I31" s="761">
        <f t="shared" si="7"/>
        <v>0</v>
      </c>
      <c r="J31" s="761">
        <v>0</v>
      </c>
      <c r="K31" s="763"/>
      <c r="L31" s="779"/>
      <c r="M31" s="761">
        <v>0</v>
      </c>
      <c r="N31" s="781">
        <f t="shared" si="5"/>
        <v>0</v>
      </c>
      <c r="O31" s="761">
        <v>0</v>
      </c>
      <c r="P31" s="761">
        <v>0</v>
      </c>
      <c r="Q31" s="761">
        <v>0</v>
      </c>
      <c r="R31" s="761">
        <v>0</v>
      </c>
    </row>
    <row r="32" spans="2:18">
      <c r="B32" s="322">
        <f t="shared" si="4"/>
        <v>6</v>
      </c>
      <c r="C32" s="323" t="s">
        <v>535</v>
      </c>
      <c r="D32" s="772">
        <f>D27+D30-D31</f>
        <v>7.0999999999999995E-3</v>
      </c>
      <c r="E32" s="772">
        <f>E27+E30-E31</f>
        <v>7.0999999999999995E-3</v>
      </c>
      <c r="F32" s="763">
        <f t="shared" si="6"/>
        <v>0</v>
      </c>
      <c r="G32" s="772">
        <f>G27+G30-G31</f>
        <v>1.635E-2</v>
      </c>
      <c r="H32" s="772">
        <f>H27+H30-H31</f>
        <v>1.5444294997215464E-2</v>
      </c>
      <c r="I32" s="761">
        <f t="shared" si="7"/>
        <v>-9.057050027845362E-4</v>
      </c>
      <c r="J32" s="772">
        <f>J27+J30-J31</f>
        <v>2.5600000000000001E-2</v>
      </c>
      <c r="K32" s="763"/>
      <c r="L32" s="763"/>
      <c r="M32" s="772">
        <f>M27+M30-M31</f>
        <v>2.3875532826893239E-2</v>
      </c>
      <c r="N32" s="781">
        <f t="shared" si="5"/>
        <v>-1.7244671731067619E-3</v>
      </c>
      <c r="O32" s="772">
        <f>O27+O30-O31</f>
        <v>3.49E-2</v>
      </c>
      <c r="P32" s="772">
        <f>P27+P30-P31</f>
        <v>3.2306770656571018E-2</v>
      </c>
      <c r="Q32" s="772">
        <f>Q27+Q30-Q31</f>
        <v>4.4249999999999998E-2</v>
      </c>
      <c r="R32" s="772">
        <f>R27+R30-R31</f>
        <v>4.0738008486248797E-2</v>
      </c>
    </row>
    <row r="33" spans="2:18" ht="30">
      <c r="B33" s="322">
        <f t="shared" si="4"/>
        <v>7</v>
      </c>
      <c r="C33" s="323" t="s">
        <v>536</v>
      </c>
      <c r="D33" s="760">
        <f>D32/D28</f>
        <v>5.0000000000000001E-3</v>
      </c>
      <c r="E33" s="760">
        <f>E32/E28</f>
        <v>5.0000000000000001E-3</v>
      </c>
      <c r="F33" s="763"/>
      <c r="G33" s="760">
        <f>G32/G28</f>
        <v>8.8378378378378367E-3</v>
      </c>
      <c r="H33" s="760">
        <f>H32/H28</f>
        <v>9.254403758717368E-3</v>
      </c>
      <c r="I33" s="761"/>
      <c r="J33" s="760">
        <f>J32/J28</f>
        <v>1.3837837837837838E-2</v>
      </c>
      <c r="K33" s="763"/>
      <c r="L33" s="763"/>
      <c r="M33" s="760">
        <f>M32/M28</f>
        <v>1.415897244818067E-2</v>
      </c>
      <c r="N33" s="781"/>
      <c r="O33" s="760">
        <f>O32/O28</f>
        <v>1.8763440860215055E-2</v>
      </c>
      <c r="P33" s="760">
        <f>P32/P28</f>
        <v>1.9158972448180673E-2</v>
      </c>
      <c r="Q33" s="760">
        <f>Q32/Q28</f>
        <v>2.3663101604278071E-2</v>
      </c>
      <c r="R33" s="760">
        <f>R32/R28</f>
        <v>2.4158972448180674E-2</v>
      </c>
    </row>
    <row r="35" spans="2:18">
      <c r="B35" s="10" t="s">
        <v>374</v>
      </c>
      <c r="C35" s="18" t="s">
        <v>747</v>
      </c>
    </row>
  </sheetData>
  <mergeCells count="14">
    <mergeCell ref="O8:P8"/>
    <mergeCell ref="Q8:R8"/>
    <mergeCell ref="J24:N24"/>
    <mergeCell ref="O24:P24"/>
    <mergeCell ref="Q24:R24"/>
    <mergeCell ref="J8:N8"/>
    <mergeCell ref="B24:B26"/>
    <mergeCell ref="C24:C26"/>
    <mergeCell ref="D24:F24"/>
    <mergeCell ref="G24:I24"/>
    <mergeCell ref="B8:B10"/>
    <mergeCell ref="C8:C10"/>
    <mergeCell ref="D8:F8"/>
    <mergeCell ref="G8:I8"/>
  </mergeCells>
  <pageMargins left="0.75" right="0.75" top="1" bottom="1" header="0.5" footer="0.5"/>
  <pageSetup paperSize="9" scale="4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C000"/>
    <pageSetUpPr fitToPage="1"/>
  </sheetPr>
  <dimension ref="B1:S100"/>
  <sheetViews>
    <sheetView showGridLines="0" view="pageBreakPreview" topLeftCell="D1" zoomScale="60" zoomScaleNormal="75" workbookViewId="0">
      <selection activeCell="C11" sqref="C11:C12"/>
    </sheetView>
  </sheetViews>
  <sheetFormatPr defaultColWidth="9.140625" defaultRowHeight="15"/>
  <cols>
    <col min="1" max="1" width="6.85546875" style="18" customWidth="1"/>
    <col min="2" max="2" width="6.5703125" style="91" customWidth="1"/>
    <col min="3" max="3" width="49" style="18" customWidth="1"/>
    <col min="4" max="4" width="23.42578125" style="18" bestFit="1" customWidth="1"/>
    <col min="5" max="5" width="17.140625" style="18" customWidth="1"/>
    <col min="6" max="7" width="17.28515625" style="18" customWidth="1"/>
    <col min="8" max="11" width="16.28515625" style="18" customWidth="1"/>
    <col min="12" max="12" width="18.140625" style="18" customWidth="1"/>
    <col min="13" max="13" width="15.7109375" style="18" customWidth="1"/>
    <col min="14" max="14" width="17.42578125" style="18" customWidth="1"/>
    <col min="15" max="15" width="16" style="18" customWidth="1"/>
    <col min="16" max="16" width="18.28515625" style="18" customWidth="1"/>
    <col min="17" max="17" width="18.42578125" style="18" customWidth="1"/>
    <col min="18" max="18" width="16" style="18" customWidth="1"/>
    <col min="19" max="16384" width="9.140625" style="18"/>
  </cols>
  <sheetData>
    <row r="1" spans="2:19">
      <c r="C1" s="69"/>
      <c r="D1" s="69"/>
      <c r="E1" s="69"/>
    </row>
    <row r="2" spans="2:19">
      <c r="C2" s="69"/>
      <c r="D2" s="69"/>
      <c r="E2" s="69"/>
      <c r="F2" s="375" t="s">
        <v>906</v>
      </c>
      <c r="G2" s="375"/>
    </row>
    <row r="3" spans="2:19">
      <c r="C3" s="69"/>
      <c r="D3" s="69"/>
      <c r="E3" s="69"/>
      <c r="F3" s="1073" t="s">
        <v>722</v>
      </c>
      <c r="G3" s="1073"/>
    </row>
    <row r="4" spans="2:19">
      <c r="C4" s="69"/>
      <c r="D4" s="69"/>
      <c r="E4" s="69"/>
      <c r="F4" s="62" t="s">
        <v>474</v>
      </c>
      <c r="G4" s="62"/>
    </row>
    <row r="5" spans="2:19">
      <c r="C5" s="37"/>
      <c r="D5" s="37"/>
      <c r="E5" s="37"/>
      <c r="F5" s="37"/>
      <c r="G5" s="37"/>
      <c r="H5" s="37"/>
      <c r="I5" s="37"/>
      <c r="J5" s="37"/>
      <c r="K5" s="37"/>
      <c r="L5" s="37"/>
      <c r="M5" s="37"/>
      <c r="N5" s="37"/>
    </row>
    <row r="6" spans="2:19">
      <c r="B6" s="298"/>
      <c r="R6" s="26" t="s">
        <v>16</v>
      </c>
    </row>
    <row r="7" spans="2:19" s="389" customFormat="1" ht="12.75" customHeight="1">
      <c r="B7" s="1355" t="s">
        <v>157</v>
      </c>
      <c r="C7" s="1358" t="s">
        <v>49</v>
      </c>
      <c r="D7" s="1360" t="s">
        <v>670</v>
      </c>
      <c r="E7" s="1361"/>
      <c r="F7" s="1362"/>
      <c r="G7" s="1360" t="s">
        <v>738</v>
      </c>
      <c r="H7" s="1361"/>
      <c r="I7" s="1362"/>
      <c r="J7" s="1360" t="s">
        <v>147</v>
      </c>
      <c r="K7" s="1361"/>
      <c r="L7" s="1361"/>
      <c r="M7" s="1361"/>
      <c r="N7" s="1362"/>
      <c r="O7" s="1360" t="s">
        <v>148</v>
      </c>
      <c r="P7" s="1362"/>
      <c r="Q7" s="1363" t="s">
        <v>149</v>
      </c>
      <c r="R7" s="1363"/>
    </row>
    <row r="8" spans="2:19" s="389" customFormat="1" ht="45.6" customHeight="1">
      <c r="B8" s="1356"/>
      <c r="C8" s="1358"/>
      <c r="D8" s="1068" t="s">
        <v>413</v>
      </c>
      <c r="E8" s="1068" t="s">
        <v>414</v>
      </c>
      <c r="F8" s="1068" t="s">
        <v>415</v>
      </c>
      <c r="G8" s="1067" t="s">
        <v>413</v>
      </c>
      <c r="H8" s="1068" t="s">
        <v>414</v>
      </c>
      <c r="I8" s="1068" t="s">
        <v>415</v>
      </c>
      <c r="J8" s="1068" t="s">
        <v>413</v>
      </c>
      <c r="K8" s="1068" t="s">
        <v>416</v>
      </c>
      <c r="L8" s="1068" t="s">
        <v>335</v>
      </c>
      <c r="M8" s="1068" t="s">
        <v>71</v>
      </c>
      <c r="N8" s="1068" t="s">
        <v>417</v>
      </c>
      <c r="O8" s="1068" t="s">
        <v>413</v>
      </c>
      <c r="P8" s="1068" t="s">
        <v>671</v>
      </c>
      <c r="Q8" s="1068" t="s">
        <v>413</v>
      </c>
      <c r="R8" s="1068" t="s">
        <v>671</v>
      </c>
    </row>
    <row r="9" spans="2:19" s="389" customFormat="1" ht="13.9" customHeight="1">
      <c r="B9" s="1502"/>
      <c r="C9" s="1503"/>
      <c r="D9" s="1068" t="s">
        <v>72</v>
      </c>
      <c r="E9" s="1068" t="s">
        <v>73</v>
      </c>
      <c r="F9" s="1068" t="s">
        <v>705</v>
      </c>
      <c r="G9" s="1068" t="s">
        <v>419</v>
      </c>
      <c r="H9" s="1068" t="s">
        <v>420</v>
      </c>
      <c r="I9" s="1068" t="s">
        <v>706</v>
      </c>
      <c r="J9" s="1068" t="s">
        <v>676</v>
      </c>
      <c r="K9" s="1068" t="s">
        <v>593</v>
      </c>
      <c r="L9" s="1068" t="s">
        <v>677</v>
      </c>
      <c r="M9" s="1068" t="s">
        <v>707</v>
      </c>
      <c r="N9" s="1068" t="s">
        <v>708</v>
      </c>
      <c r="O9" s="1068" t="s">
        <v>709</v>
      </c>
      <c r="P9" s="1068" t="s">
        <v>596</v>
      </c>
      <c r="Q9" s="1068" t="s">
        <v>710</v>
      </c>
      <c r="R9" s="1068" t="s">
        <v>711</v>
      </c>
    </row>
    <row r="10" spans="2:19" s="155" customFormat="1">
      <c r="B10" s="92">
        <v>1</v>
      </c>
      <c r="C10" s="114" t="s">
        <v>76</v>
      </c>
      <c r="D10" s="1129">
        <v>0.5</v>
      </c>
      <c r="E10" s="1130">
        <f ca="1">+F78</f>
        <v>2.2251718300876986</v>
      </c>
      <c r="F10" s="1136">
        <f ca="1">+E10-D10</f>
        <v>1.7251718300876986</v>
      </c>
      <c r="G10" s="1129">
        <v>0.5</v>
      </c>
      <c r="H10" s="1136">
        <f ca="1">+I78</f>
        <v>0.33497697997210535</v>
      </c>
      <c r="I10" s="1135"/>
      <c r="J10" s="944">
        <v>0.5</v>
      </c>
      <c r="K10" s="29"/>
      <c r="L10" s="29"/>
      <c r="M10" s="466">
        <f>+('F8'!K23+'F8'!K42)*$F$100/(1-$F$100)</f>
        <v>0.63598832470512523</v>
      </c>
      <c r="N10" s="29"/>
      <c r="O10" s="945">
        <v>0.5</v>
      </c>
      <c r="P10" s="466">
        <f>+('F8'!N23+'F8'!N42)*$F$100/(1-$F$100)</f>
        <v>0.6438293981514529</v>
      </c>
      <c r="Q10" s="945">
        <v>0.5</v>
      </c>
      <c r="R10" s="466">
        <f>+('F8'!P23+'F8'!P42)*$F$100/(1-$F$100)</f>
        <v>0.65452177103280884</v>
      </c>
      <c r="S10" s="38"/>
    </row>
    <row r="11" spans="2:19" s="155" customFormat="1">
      <c r="B11" s="92"/>
      <c r="C11" s="112" t="s">
        <v>1102</v>
      </c>
      <c r="D11" s="1131">
        <v>0.45</v>
      </c>
      <c r="E11" s="1132">
        <f ca="1">+E10*ASSUM!$C$19</f>
        <v>2.0026546470789288</v>
      </c>
      <c r="F11" s="1133">
        <f ca="1">+E11-D11</f>
        <v>1.5526546470789289</v>
      </c>
      <c r="G11" s="1131">
        <v>0.45</v>
      </c>
      <c r="H11" s="1132">
        <f ca="1">+H10*ASSUM!$C$19</f>
        <v>0.30147928197489482</v>
      </c>
      <c r="I11" s="117"/>
      <c r="J11" s="945">
        <v>0.45</v>
      </c>
      <c r="K11" s="29"/>
      <c r="L11" s="29"/>
      <c r="M11" s="1132">
        <f>+M10*ASSUM!$C$19</f>
        <v>0.57238949223461277</v>
      </c>
      <c r="N11" s="29"/>
      <c r="O11" s="945">
        <v>0.45</v>
      </c>
      <c r="P11" s="1132">
        <f>+P10*ASSUM!$C$19</f>
        <v>0.57944645833630759</v>
      </c>
      <c r="Q11" s="945">
        <v>0.45</v>
      </c>
      <c r="R11" s="1132">
        <f>+R10*ASSUM!$C$19</f>
        <v>0.58906959392952796</v>
      </c>
      <c r="S11" s="38"/>
    </row>
    <row r="12" spans="2:19" s="155" customFormat="1">
      <c r="B12" s="92"/>
      <c r="C12" s="112" t="s">
        <v>1103</v>
      </c>
      <c r="D12" s="1131">
        <f>+D10-D11</f>
        <v>4.9999999999999989E-2</v>
      </c>
      <c r="E12" s="1132">
        <f ca="1">+E10-E11</f>
        <v>0.22251718300876977</v>
      </c>
      <c r="F12" s="1133">
        <f ca="1">+E12-D12</f>
        <v>0.17251718300876978</v>
      </c>
      <c r="G12" s="1131">
        <f>+G10-G11</f>
        <v>4.9999999999999989E-2</v>
      </c>
      <c r="H12" s="1132">
        <f ca="1">+H10-H11</f>
        <v>3.3497697997210529E-2</v>
      </c>
      <c r="I12" s="117"/>
      <c r="J12" s="945">
        <f>+J10-J11</f>
        <v>4.9999999999999989E-2</v>
      </c>
      <c r="K12" s="29"/>
      <c r="L12" s="29"/>
      <c r="M12" s="1132">
        <f>+M10-M11</f>
        <v>6.3598832470512456E-2</v>
      </c>
      <c r="N12" s="29"/>
      <c r="O12" s="945">
        <f>+O10-O11</f>
        <v>4.9999999999999989E-2</v>
      </c>
      <c r="P12" s="1132">
        <f>+P10-P11</f>
        <v>6.4382939815145313E-2</v>
      </c>
      <c r="Q12" s="945">
        <f>+Q10-Q11</f>
        <v>4.9999999999999989E-2</v>
      </c>
      <c r="R12" s="1132">
        <f>+R10-R11</f>
        <v>6.5452177103280884E-2</v>
      </c>
      <c r="S12" s="38"/>
    </row>
    <row r="13" spans="2:19" s="155" customFormat="1">
      <c r="B13" s="1076"/>
      <c r="C13" s="1134"/>
      <c r="D13" s="1134"/>
      <c r="E13" s="1134"/>
      <c r="F13" s="1134"/>
      <c r="G13" s="1134"/>
      <c r="H13" s="1134"/>
      <c r="I13" s="1134"/>
      <c r="J13" s="1134"/>
      <c r="K13" s="1134"/>
      <c r="L13" s="1134"/>
      <c r="M13" s="1134"/>
      <c r="N13" s="1134"/>
      <c r="O13" s="39"/>
      <c r="P13" s="39"/>
      <c r="Q13" s="39"/>
      <c r="R13" s="39"/>
      <c r="S13" s="38"/>
    </row>
    <row r="14" spans="2:19" s="155" customFormat="1">
      <c r="B14" s="1076"/>
      <c r="C14" s="1501" t="s">
        <v>464</v>
      </c>
      <c r="D14" s="1501"/>
      <c r="E14" s="1501"/>
      <c r="F14" s="1501"/>
      <c r="G14" s="1501"/>
      <c r="H14" s="1501"/>
      <c r="I14" s="1501"/>
      <c r="J14" s="1134"/>
      <c r="K14" s="1134"/>
      <c r="L14" s="1134"/>
      <c r="M14" s="1134"/>
      <c r="N14" s="1134"/>
      <c r="O14" s="39"/>
      <c r="P14" s="39"/>
      <c r="Q14" s="39"/>
      <c r="R14" s="39"/>
      <c r="S14" s="38"/>
    </row>
    <row r="15" spans="2:19" s="155" customFormat="1">
      <c r="B15" s="1076"/>
      <c r="C15" s="1501" t="s">
        <v>465</v>
      </c>
      <c r="D15" s="1501"/>
      <c r="E15" s="1501"/>
      <c r="F15" s="1501"/>
      <c r="G15" s="1501"/>
      <c r="H15" s="1501"/>
      <c r="I15" s="1501"/>
      <c r="J15" s="1501"/>
      <c r="K15" s="1501"/>
      <c r="L15" s="1134"/>
      <c r="M15" s="1137"/>
      <c r="N15" s="1134"/>
      <c r="O15" s="39"/>
      <c r="P15" s="39"/>
      <c r="Q15" s="39"/>
      <c r="R15" s="39"/>
      <c r="S15" s="38"/>
    </row>
    <row r="16" spans="2:19" s="155" customFormat="1">
      <c r="B16" s="1076"/>
      <c r="C16" s="1075"/>
      <c r="D16" s="1075"/>
      <c r="E16" s="1075"/>
      <c r="F16" s="1075"/>
      <c r="G16" s="1075"/>
      <c r="H16" s="1075"/>
      <c r="I16" s="1075"/>
      <c r="J16" s="1075"/>
      <c r="K16" s="1075"/>
      <c r="L16" s="1134"/>
      <c r="M16" s="1134"/>
      <c r="N16" s="1134"/>
      <c r="O16" s="39"/>
      <c r="P16" s="39"/>
      <c r="Q16" s="39"/>
      <c r="R16" s="39"/>
      <c r="S16" s="38"/>
    </row>
    <row r="17" spans="2:19" s="155" customFormat="1">
      <c r="B17" s="1488" t="s">
        <v>466</v>
      </c>
      <c r="C17" s="1488"/>
      <c r="D17" s="1488"/>
      <c r="E17" s="1488"/>
      <c r="F17" s="1488"/>
      <c r="G17" s="281"/>
      <c r="H17" s="281"/>
      <c r="I17" s="281"/>
      <c r="J17" s="281"/>
      <c r="K17" s="281"/>
      <c r="L17" s="281"/>
      <c r="M17" s="281"/>
      <c r="N17" s="281"/>
      <c r="O17" s="70"/>
      <c r="P17" s="39"/>
      <c r="Q17" s="39"/>
      <c r="R17" s="39"/>
      <c r="S17" s="38"/>
    </row>
    <row r="18" spans="2:19" s="155" customFormat="1">
      <c r="B18" s="91"/>
      <c r="C18" s="18"/>
      <c r="D18" s="18"/>
      <c r="E18" s="18"/>
      <c r="F18" s="26" t="s">
        <v>16</v>
      </c>
      <c r="G18" s="18"/>
      <c r="H18" s="18"/>
      <c r="I18" s="18"/>
      <c r="J18" s="18"/>
      <c r="K18" s="18"/>
      <c r="L18" s="18"/>
      <c r="M18" s="18"/>
      <c r="N18" s="18"/>
      <c r="P18" s="39"/>
      <c r="Q18" s="39"/>
      <c r="R18" s="39"/>
      <c r="S18" s="38"/>
    </row>
    <row r="19" spans="2:19" s="155" customFormat="1">
      <c r="B19" s="1365" t="s">
        <v>157</v>
      </c>
      <c r="C19" s="1365" t="s">
        <v>49</v>
      </c>
      <c r="D19" s="1404"/>
      <c r="E19" s="1072" t="s">
        <v>38</v>
      </c>
      <c r="F19" s="1069" t="s">
        <v>146</v>
      </c>
      <c r="G19" s="1134"/>
      <c r="H19" s="1134"/>
      <c r="I19" s="1134"/>
      <c r="J19" s="1134"/>
      <c r="K19" s="1134"/>
      <c r="L19" s="1134"/>
      <c r="M19" s="1134"/>
      <c r="N19" s="1134"/>
      <c r="O19" s="1134"/>
      <c r="P19" s="39"/>
      <c r="Q19" s="39"/>
      <c r="R19" s="39"/>
      <c r="S19" s="38"/>
    </row>
    <row r="20" spans="2:19" s="155" customFormat="1" ht="28.5">
      <c r="B20" s="1417"/>
      <c r="C20" s="1417"/>
      <c r="D20" s="1415"/>
      <c r="E20" s="1069" t="s">
        <v>414</v>
      </c>
      <c r="F20" s="1069" t="s">
        <v>12</v>
      </c>
      <c r="G20" s="1134"/>
      <c r="H20" s="1134"/>
      <c r="I20" s="1134"/>
      <c r="J20" s="1134"/>
      <c r="K20" s="1134"/>
      <c r="L20" s="1134"/>
      <c r="M20" s="1134"/>
      <c r="N20" s="1134"/>
      <c r="O20" s="1134"/>
      <c r="P20" s="39"/>
      <c r="Q20" s="39"/>
      <c r="R20" s="39"/>
      <c r="S20" s="38"/>
    </row>
    <row r="21" spans="2:19" s="155" customFormat="1">
      <c r="B21" s="1417"/>
      <c r="C21" s="1417"/>
      <c r="D21" s="1405"/>
      <c r="E21" s="1069" t="s">
        <v>72</v>
      </c>
      <c r="F21" s="1069" t="s">
        <v>73</v>
      </c>
      <c r="G21" s="1134"/>
      <c r="H21" s="1134"/>
      <c r="I21" s="1134"/>
      <c r="J21" s="1134"/>
      <c r="K21" s="1134"/>
      <c r="L21" s="1134"/>
      <c r="M21" s="1134"/>
      <c r="N21" s="1134"/>
      <c r="O21" s="1134"/>
      <c r="P21" s="39"/>
      <c r="Q21" s="39"/>
      <c r="R21" s="39"/>
      <c r="S21" s="38"/>
    </row>
    <row r="22" spans="2:19" s="155" customFormat="1">
      <c r="B22" s="92">
        <v>1</v>
      </c>
      <c r="C22" s="112" t="s">
        <v>467</v>
      </c>
      <c r="D22" s="113">
        <v>1</v>
      </c>
      <c r="E22" s="117">
        <v>0</v>
      </c>
      <c r="F22" s="117">
        <v>0</v>
      </c>
      <c r="G22" s="1134"/>
      <c r="H22" s="1134"/>
      <c r="I22" s="1134"/>
      <c r="J22" s="1134"/>
      <c r="K22" s="1134"/>
      <c r="L22" s="1134"/>
      <c r="M22" s="1134"/>
      <c r="N22" s="1134"/>
      <c r="O22" s="1134"/>
      <c r="P22" s="39"/>
      <c r="Q22" s="39"/>
      <c r="R22" s="39"/>
      <c r="S22" s="38"/>
    </row>
    <row r="23" spans="2:19" s="155" customFormat="1">
      <c r="B23" s="92">
        <v>2</v>
      </c>
      <c r="C23" s="112" t="s">
        <v>468</v>
      </c>
      <c r="D23" s="113">
        <v>2</v>
      </c>
      <c r="E23" s="117">
        <v>0</v>
      </c>
      <c r="F23" s="117">
        <v>0</v>
      </c>
      <c r="G23" s="1134"/>
      <c r="H23" s="1134"/>
      <c r="I23" s="1134"/>
      <c r="J23" s="1134"/>
      <c r="K23" s="1134"/>
      <c r="L23" s="1134"/>
      <c r="M23" s="1134"/>
      <c r="N23" s="1134"/>
      <c r="O23" s="1134"/>
      <c r="P23" s="39"/>
      <c r="Q23" s="39"/>
      <c r="R23" s="39"/>
      <c r="S23" s="38"/>
    </row>
    <row r="24" spans="2:19" s="155" customFormat="1">
      <c r="B24" s="92">
        <v>3</v>
      </c>
      <c r="C24" s="112" t="s">
        <v>469</v>
      </c>
      <c r="D24" s="113">
        <v>3</v>
      </c>
      <c r="E24" s="117">
        <v>0</v>
      </c>
      <c r="F24" s="117">
        <v>0</v>
      </c>
      <c r="G24" s="1134"/>
      <c r="H24" s="1134"/>
      <c r="I24" s="1134"/>
      <c r="J24" s="1134"/>
      <c r="K24" s="1134"/>
      <c r="L24" s="1134"/>
      <c r="M24" s="1134"/>
      <c r="N24" s="1134"/>
      <c r="O24" s="1134"/>
      <c r="P24" s="39"/>
      <c r="Q24" s="39"/>
      <c r="R24" s="39"/>
      <c r="S24" s="38"/>
    </row>
    <row r="25" spans="2:19" s="155" customFormat="1">
      <c r="B25" s="92">
        <v>4</v>
      </c>
      <c r="C25" s="112" t="s">
        <v>470</v>
      </c>
      <c r="D25" s="113" t="s">
        <v>471</v>
      </c>
      <c r="E25" s="117">
        <f>+SUM(E22:E24)</f>
        <v>0</v>
      </c>
      <c r="F25" s="117">
        <f>+SUM(F22:F24)</f>
        <v>0</v>
      </c>
      <c r="G25" s="1134"/>
      <c r="H25" s="1134"/>
      <c r="I25" s="1134"/>
      <c r="J25" s="1134"/>
      <c r="K25" s="1134"/>
      <c r="L25" s="1134"/>
      <c r="M25" s="1134"/>
      <c r="N25" s="1134"/>
      <c r="O25" s="1134"/>
      <c r="P25" s="39"/>
      <c r="Q25" s="39"/>
      <c r="R25" s="39"/>
      <c r="S25" s="38"/>
    </row>
    <row r="26" spans="2:19" s="155" customFormat="1">
      <c r="B26" s="1076"/>
      <c r="C26" s="1134"/>
      <c r="D26" s="1134"/>
      <c r="E26" s="1134"/>
      <c r="F26" s="1134"/>
      <c r="G26" s="1134"/>
      <c r="H26" s="1134"/>
      <c r="I26" s="1134"/>
      <c r="J26" s="1134"/>
      <c r="K26" s="1134"/>
      <c r="L26" s="1134"/>
      <c r="M26" s="1134"/>
      <c r="N26" s="1134"/>
      <c r="O26" s="39"/>
      <c r="P26" s="39"/>
      <c r="Q26" s="39"/>
      <c r="R26" s="39"/>
      <c r="S26" s="38"/>
    </row>
    <row r="27" spans="2:19" s="155" customFormat="1">
      <c r="B27" s="1076"/>
      <c r="C27" s="1134"/>
      <c r="D27" s="1134"/>
      <c r="E27" s="1134"/>
      <c r="F27" s="1134"/>
      <c r="G27" s="1134"/>
      <c r="H27" s="1134"/>
      <c r="I27" s="1134"/>
      <c r="J27" s="1134"/>
      <c r="K27" s="1134"/>
      <c r="L27" s="1134"/>
      <c r="M27" s="1134"/>
      <c r="N27" s="1134"/>
      <c r="O27" s="39"/>
      <c r="P27" s="39"/>
      <c r="Q27" s="39"/>
      <c r="R27" s="39"/>
      <c r="S27" s="38"/>
    </row>
    <row r="28" spans="2:19" s="155" customFormat="1">
      <c r="B28" s="1076"/>
      <c r="C28" s="1134"/>
      <c r="D28" s="1134"/>
      <c r="E28" s="1134"/>
      <c r="F28" s="1134"/>
      <c r="G28" s="1134"/>
      <c r="H28" s="1134"/>
      <c r="I28" s="1134"/>
      <c r="J28" s="1134"/>
      <c r="K28" s="1134"/>
      <c r="L28" s="1134"/>
      <c r="M28" s="1134"/>
      <c r="N28" s="1134"/>
      <c r="O28" s="39"/>
      <c r="P28" s="39"/>
      <c r="Q28" s="39"/>
      <c r="R28" s="39"/>
      <c r="S28" s="38"/>
    </row>
    <row r="29" spans="2:19" s="155" customFormat="1" ht="15" customHeight="1">
      <c r="B29" s="1488" t="s">
        <v>472</v>
      </c>
      <c r="C29" s="1488"/>
      <c r="D29" s="1488"/>
      <c r="E29" s="1488"/>
      <c r="F29" s="1488"/>
      <c r="G29" s="1488"/>
      <c r="H29" s="1488"/>
      <c r="I29" s="1488"/>
      <c r="J29" s="1488"/>
      <c r="K29" s="1488"/>
      <c r="L29" s="1488"/>
      <c r="M29" s="1488"/>
      <c r="N29" s="1488"/>
      <c r="O29" s="1488"/>
      <c r="P29" s="1488"/>
      <c r="Q29" s="70"/>
      <c r="R29" s="70"/>
      <c r="S29" s="70"/>
    </row>
    <row r="30" spans="2:19" s="155" customFormat="1" ht="15" customHeight="1">
      <c r="B30" s="1213"/>
      <c r="C30" s="1213"/>
      <c r="D30" s="1213"/>
      <c r="E30" s="1213"/>
      <c r="F30" s="1213"/>
      <c r="G30" s="1213"/>
      <c r="H30" s="1213"/>
      <c r="I30" s="1213"/>
      <c r="J30" s="1213"/>
      <c r="K30" s="1213"/>
      <c r="L30" s="1213"/>
      <c r="M30" s="1213"/>
      <c r="N30" s="1213"/>
      <c r="O30" s="1213"/>
      <c r="P30" s="1213"/>
      <c r="Q30" s="70"/>
      <c r="R30" s="70"/>
      <c r="S30" s="70"/>
    </row>
    <row r="31" spans="2:19">
      <c r="P31" s="26" t="s">
        <v>16</v>
      </c>
    </row>
    <row r="32" spans="2:19" s="389" customFormat="1">
      <c r="B32" s="1363" t="s">
        <v>157</v>
      </c>
      <c r="C32" s="1363" t="s">
        <v>49</v>
      </c>
      <c r="D32" s="1355"/>
      <c r="E32" s="1360" t="s">
        <v>38</v>
      </c>
      <c r="F32" s="1361"/>
      <c r="G32" s="1362"/>
      <c r="H32" s="1360" t="s">
        <v>146</v>
      </c>
      <c r="I32" s="1361"/>
      <c r="J32" s="1362"/>
      <c r="K32" s="1360" t="s">
        <v>147</v>
      </c>
      <c r="L32" s="1361"/>
      <c r="M32" s="1361" t="s">
        <v>148</v>
      </c>
      <c r="N32" s="1362"/>
      <c r="O32" s="1363" t="s">
        <v>149</v>
      </c>
      <c r="P32" s="1363"/>
    </row>
    <row r="33" spans="2:16" s="389" customFormat="1" ht="37.9" customHeight="1">
      <c r="B33" s="1364"/>
      <c r="C33" s="1364"/>
      <c r="D33" s="1356"/>
      <c r="E33" s="1068" t="s">
        <v>413</v>
      </c>
      <c r="F33" s="1068" t="s">
        <v>672</v>
      </c>
      <c r="G33" s="1068" t="s">
        <v>415</v>
      </c>
      <c r="H33" s="1067" t="s">
        <v>413</v>
      </c>
      <c r="I33" s="1068" t="s">
        <v>672</v>
      </c>
      <c r="J33" s="1068" t="s">
        <v>415</v>
      </c>
      <c r="K33" s="1068" t="s">
        <v>413</v>
      </c>
      <c r="L33" s="1068" t="s">
        <v>718</v>
      </c>
      <c r="M33" s="1068" t="s">
        <v>413</v>
      </c>
      <c r="N33" s="1068" t="s">
        <v>671</v>
      </c>
      <c r="O33" s="1068" t="s">
        <v>413</v>
      </c>
      <c r="P33" s="1068" t="s">
        <v>671</v>
      </c>
    </row>
    <row r="34" spans="2:16" s="389" customFormat="1">
      <c r="B34" s="398">
        <v>1</v>
      </c>
      <c r="C34" s="112" t="s">
        <v>163</v>
      </c>
      <c r="D34" s="399" t="s">
        <v>164</v>
      </c>
      <c r="E34" s="1504"/>
      <c r="F34" s="117">
        <f>+'ARR-Summary'!F79</f>
        <v>58.171096834999993</v>
      </c>
      <c r="G34" s="1498"/>
      <c r="H34" s="1498"/>
      <c r="I34" s="117">
        <f>+'ARR-Summary'!I79</f>
        <v>52.960947008639991</v>
      </c>
      <c r="J34" s="1498"/>
      <c r="K34" s="1498"/>
      <c r="L34" s="400"/>
      <c r="M34" s="1498"/>
      <c r="N34" s="400"/>
      <c r="O34" s="1498"/>
      <c r="P34" s="398"/>
    </row>
    <row r="35" spans="2:16" s="389" customFormat="1">
      <c r="B35" s="398">
        <f>B34+1</f>
        <v>2</v>
      </c>
      <c r="C35" s="112" t="s">
        <v>165</v>
      </c>
      <c r="D35" s="399" t="s">
        <v>166</v>
      </c>
      <c r="E35" s="1505"/>
      <c r="F35" s="117">
        <f ca="1">+('ARR-Summary'!F21-'ARR-Summary'!F20)+('ARR-Summary'!F49-'ARR-Summary'!F48)</f>
        <v>47.71200480168531</v>
      </c>
      <c r="G35" s="1499"/>
      <c r="H35" s="1499"/>
      <c r="I35" s="117">
        <f ca="1">+('ARR-Summary'!I21-'ARR-Summary'!I20)+('ARR-Summary'!I49-'ARR-Summary'!I48)</f>
        <v>51.31486848297854</v>
      </c>
      <c r="J35" s="1499"/>
      <c r="K35" s="1499"/>
      <c r="L35" s="400"/>
      <c r="M35" s="1499"/>
      <c r="N35" s="400"/>
      <c r="O35" s="1499"/>
      <c r="P35" s="398"/>
    </row>
    <row r="36" spans="2:16" s="389" customFormat="1">
      <c r="B36" s="398">
        <f>B35+1</f>
        <v>3</v>
      </c>
      <c r="C36" s="114" t="s">
        <v>167</v>
      </c>
      <c r="D36" s="121" t="s">
        <v>168</v>
      </c>
      <c r="E36" s="1505"/>
      <c r="F36" s="1135">
        <f ca="1">+F34-F35</f>
        <v>10.459092033314683</v>
      </c>
      <c r="G36" s="1499"/>
      <c r="H36" s="1499"/>
      <c r="I36" s="1135">
        <f ca="1">+I34-I35</f>
        <v>1.6460785256614514</v>
      </c>
      <c r="J36" s="1499"/>
      <c r="K36" s="1499"/>
      <c r="L36" s="400"/>
      <c r="M36" s="1499"/>
      <c r="N36" s="400"/>
      <c r="O36" s="1499"/>
      <c r="P36" s="398"/>
    </row>
    <row r="37" spans="2:16" s="389" customFormat="1">
      <c r="B37" s="398"/>
      <c r="C37" s="114"/>
      <c r="D37" s="121"/>
      <c r="E37" s="1505"/>
      <c r="F37" s="117"/>
      <c r="G37" s="1499"/>
      <c r="H37" s="1499"/>
      <c r="I37" s="116"/>
      <c r="J37" s="1499"/>
      <c r="K37" s="1499"/>
      <c r="L37" s="400"/>
      <c r="M37" s="1499"/>
      <c r="N37" s="400"/>
      <c r="O37" s="1499"/>
      <c r="P37" s="398"/>
    </row>
    <row r="38" spans="2:16" s="389" customFormat="1">
      <c r="B38" s="398">
        <v>4</v>
      </c>
      <c r="C38" s="114" t="s">
        <v>169</v>
      </c>
      <c r="D38" s="399"/>
      <c r="E38" s="1505"/>
      <c r="F38" s="117"/>
      <c r="G38" s="1499"/>
      <c r="H38" s="1499"/>
      <c r="I38" s="117"/>
      <c r="J38" s="1499"/>
      <c r="K38" s="1499"/>
      <c r="L38" s="400"/>
      <c r="M38" s="1499"/>
      <c r="N38" s="400"/>
      <c r="O38" s="1499"/>
      <c r="P38" s="398"/>
    </row>
    <row r="39" spans="2:16" s="389" customFormat="1">
      <c r="B39" s="398"/>
      <c r="C39" s="114" t="s">
        <v>170</v>
      </c>
      <c r="D39" s="399"/>
      <c r="E39" s="1505"/>
      <c r="F39" s="117"/>
      <c r="G39" s="1499"/>
      <c r="H39" s="1499"/>
      <c r="I39" s="117"/>
      <c r="J39" s="1499"/>
      <c r="K39" s="1499"/>
      <c r="L39" s="400"/>
      <c r="M39" s="1499"/>
      <c r="N39" s="400"/>
      <c r="O39" s="1499"/>
      <c r="P39" s="398"/>
    </row>
    <row r="40" spans="2:16" s="389" customFormat="1">
      <c r="B40" s="398">
        <v>5</v>
      </c>
      <c r="C40" s="112" t="s">
        <v>171</v>
      </c>
      <c r="D40" s="399" t="s">
        <v>172</v>
      </c>
      <c r="E40" s="1505"/>
      <c r="F40" s="117">
        <f>+'ARR-Summary'!F14+'ARR-Summary'!F40</f>
        <v>2.3642807357400004</v>
      </c>
      <c r="G40" s="1499"/>
      <c r="H40" s="1499"/>
      <c r="I40" s="117">
        <f>+'ARR-Summary'!I14+'ARR-Summary'!I40</f>
        <v>2.6091721362000002</v>
      </c>
      <c r="J40" s="1499"/>
      <c r="K40" s="1499"/>
      <c r="L40" s="400"/>
      <c r="M40" s="1499"/>
      <c r="N40" s="400"/>
      <c r="O40" s="1499"/>
      <c r="P40" s="398"/>
    </row>
    <row r="41" spans="2:16" s="389" customFormat="1">
      <c r="B41" s="398">
        <f t="shared" ref="B41:B74" si="0">B40+1</f>
        <v>6</v>
      </c>
      <c r="C41" s="112" t="s">
        <v>173</v>
      </c>
      <c r="D41" s="399" t="s">
        <v>174</v>
      </c>
      <c r="E41" s="1505"/>
      <c r="F41" s="117">
        <f>+'ARR-Summary'!F19+'ARR-Summary'!F45</f>
        <v>0.22360000000000002</v>
      </c>
      <c r="G41" s="1499"/>
      <c r="H41" s="1499"/>
      <c r="I41" s="117">
        <f>+'ARR-Summary'!I19+'ARR-Summary'!I45</f>
        <v>0.2627865305</v>
      </c>
      <c r="J41" s="1499"/>
      <c r="K41" s="1499"/>
      <c r="L41" s="400"/>
      <c r="M41" s="1499"/>
      <c r="N41" s="400"/>
      <c r="O41" s="1499"/>
      <c r="P41" s="398"/>
    </row>
    <row r="42" spans="2:16" s="389" customFormat="1">
      <c r="B42" s="398">
        <f t="shared" si="0"/>
        <v>7</v>
      </c>
      <c r="C42" s="114" t="s">
        <v>175</v>
      </c>
      <c r="D42" s="121" t="s">
        <v>176</v>
      </c>
      <c r="E42" s="1505"/>
      <c r="F42" s="1135">
        <f>+F40+F41</f>
        <v>2.5878807357400007</v>
      </c>
      <c r="G42" s="1499"/>
      <c r="H42" s="1499"/>
      <c r="I42" s="1135">
        <f>+I40+I41</f>
        <v>2.8719586667000003</v>
      </c>
      <c r="J42" s="1499"/>
      <c r="K42" s="1499"/>
      <c r="L42" s="400"/>
      <c r="M42" s="1499"/>
      <c r="N42" s="400"/>
      <c r="O42" s="1499"/>
      <c r="P42" s="398"/>
    </row>
    <row r="43" spans="2:16" s="389" customFormat="1">
      <c r="B43" s="398"/>
      <c r="C43" s="114" t="s">
        <v>177</v>
      </c>
      <c r="D43" s="121"/>
      <c r="E43" s="1505"/>
      <c r="F43" s="117"/>
      <c r="G43" s="1499"/>
      <c r="H43" s="1499"/>
      <c r="I43" s="117"/>
      <c r="J43" s="1499"/>
      <c r="K43" s="1499"/>
      <c r="L43" s="400"/>
      <c r="M43" s="1499"/>
      <c r="N43" s="400"/>
      <c r="O43" s="1499"/>
      <c r="P43" s="398"/>
    </row>
    <row r="44" spans="2:16" s="389" customFormat="1">
      <c r="B44" s="398">
        <v>8</v>
      </c>
      <c r="C44" s="112" t="s">
        <v>178</v>
      </c>
      <c r="D44" s="399" t="s">
        <v>179</v>
      </c>
      <c r="E44" s="1505"/>
      <c r="F44" s="117">
        <f>35.1045529*44.82/88.7</f>
        <v>17.738287045975198</v>
      </c>
      <c r="G44" s="1499"/>
      <c r="H44" s="1499"/>
      <c r="I44" s="117">
        <f>11.6598128*44.82/88.7</f>
        <v>5.8916889480947017</v>
      </c>
      <c r="J44" s="1499"/>
      <c r="K44" s="1499"/>
      <c r="L44" s="400"/>
      <c r="M44" s="1499"/>
      <c r="N44" s="400"/>
      <c r="O44" s="1499"/>
      <c r="P44" s="398"/>
    </row>
    <row r="45" spans="2:16" s="389" customFormat="1">
      <c r="B45" s="398">
        <f t="shared" si="0"/>
        <v>9</v>
      </c>
      <c r="C45" s="112" t="s">
        <v>180</v>
      </c>
      <c r="D45" s="399" t="s">
        <v>181</v>
      </c>
      <c r="E45" s="1505"/>
      <c r="F45" s="117">
        <v>0</v>
      </c>
      <c r="G45" s="1499"/>
      <c r="H45" s="1499"/>
      <c r="I45" s="117">
        <v>0</v>
      </c>
      <c r="J45" s="1499"/>
      <c r="K45" s="1499"/>
      <c r="L45" s="400"/>
      <c r="M45" s="1499"/>
      <c r="N45" s="400"/>
      <c r="O45" s="1499"/>
      <c r="P45" s="398"/>
    </row>
    <row r="46" spans="2:16" s="389" customFormat="1">
      <c r="B46" s="398">
        <f t="shared" si="0"/>
        <v>10</v>
      </c>
      <c r="C46" s="112" t="s">
        <v>182</v>
      </c>
      <c r="D46" s="399" t="s">
        <v>183</v>
      </c>
      <c r="E46" s="1505"/>
      <c r="F46" s="117">
        <v>0</v>
      </c>
      <c r="G46" s="1499"/>
      <c r="H46" s="1499"/>
      <c r="I46" s="117">
        <v>0</v>
      </c>
      <c r="J46" s="1499"/>
      <c r="K46" s="1499"/>
      <c r="L46" s="400"/>
      <c r="M46" s="1499"/>
      <c r="N46" s="400"/>
      <c r="O46" s="1499"/>
      <c r="P46" s="398"/>
    </row>
    <row r="47" spans="2:16" s="389" customFormat="1">
      <c r="B47" s="398">
        <f t="shared" si="0"/>
        <v>11</v>
      </c>
      <c r="C47" s="112" t="s">
        <v>184</v>
      </c>
      <c r="D47" s="401" t="s">
        <v>185</v>
      </c>
      <c r="E47" s="1505"/>
      <c r="F47" s="117">
        <v>0</v>
      </c>
      <c r="G47" s="1499"/>
      <c r="H47" s="1499"/>
      <c r="I47" s="117">
        <v>0</v>
      </c>
      <c r="J47" s="1499"/>
      <c r="K47" s="1499"/>
      <c r="L47" s="400"/>
      <c r="M47" s="1499"/>
      <c r="N47" s="400"/>
      <c r="O47" s="1499"/>
      <c r="P47" s="398"/>
    </row>
    <row r="48" spans="2:16" s="389" customFormat="1">
      <c r="B48" s="398">
        <f t="shared" si="0"/>
        <v>12</v>
      </c>
      <c r="C48" s="112" t="s">
        <v>186</v>
      </c>
      <c r="D48" s="401" t="s">
        <v>187</v>
      </c>
      <c r="E48" s="1505"/>
      <c r="F48" s="117">
        <v>0</v>
      </c>
      <c r="G48" s="1499"/>
      <c r="H48" s="1499"/>
      <c r="I48" s="117">
        <v>0</v>
      </c>
      <c r="J48" s="1499"/>
      <c r="K48" s="1499"/>
      <c r="L48" s="400"/>
      <c r="M48" s="1499"/>
      <c r="N48" s="400"/>
      <c r="O48" s="1499"/>
      <c r="P48" s="398"/>
    </row>
    <row r="49" spans="2:16" s="389" customFormat="1">
      <c r="B49" s="398">
        <f t="shared" si="0"/>
        <v>13</v>
      </c>
      <c r="C49" s="114" t="s">
        <v>188</v>
      </c>
      <c r="D49" s="121" t="s">
        <v>189</v>
      </c>
      <c r="E49" s="1505"/>
      <c r="F49" s="1135">
        <f>+SUM(F44:F48)</f>
        <v>17.738287045975198</v>
      </c>
      <c r="G49" s="1499"/>
      <c r="H49" s="1499"/>
      <c r="I49" s="1135">
        <f>+SUM(I44:I48)</f>
        <v>5.8916889480947017</v>
      </c>
      <c r="J49" s="1499"/>
      <c r="K49" s="1499"/>
      <c r="L49" s="400"/>
      <c r="M49" s="1499"/>
      <c r="N49" s="400"/>
      <c r="O49" s="1499"/>
      <c r="P49" s="398"/>
    </row>
    <row r="50" spans="2:16" s="389" customFormat="1">
      <c r="B50" s="398">
        <f t="shared" si="0"/>
        <v>14</v>
      </c>
      <c r="C50" s="114" t="s">
        <v>190</v>
      </c>
      <c r="D50" s="121" t="s">
        <v>191</v>
      </c>
      <c r="E50" s="1505"/>
      <c r="F50" s="1135">
        <f ca="1">+F36+F42-F49</f>
        <v>-4.6913142769205152</v>
      </c>
      <c r="G50" s="1499"/>
      <c r="H50" s="1499"/>
      <c r="I50" s="1135">
        <f ca="1">+I36+I42-I49</f>
        <v>-1.3736517557332499</v>
      </c>
      <c r="J50" s="1499"/>
      <c r="K50" s="1499"/>
      <c r="L50" s="400"/>
      <c r="M50" s="1499"/>
      <c r="N50" s="400"/>
      <c r="O50" s="1499"/>
      <c r="P50" s="398"/>
    </row>
    <row r="51" spans="2:16" s="389" customFormat="1">
      <c r="B51" s="398"/>
      <c r="C51" s="112"/>
      <c r="D51" s="399"/>
      <c r="E51" s="1505"/>
      <c r="F51" s="117"/>
      <c r="G51" s="1499"/>
      <c r="H51" s="1499"/>
      <c r="I51" s="117"/>
      <c r="J51" s="1499"/>
      <c r="K51" s="1499"/>
      <c r="L51" s="400"/>
      <c r="M51" s="1499"/>
      <c r="N51" s="400"/>
      <c r="O51" s="1499"/>
      <c r="P51" s="398"/>
    </row>
    <row r="52" spans="2:16" s="389" customFormat="1">
      <c r="B52" s="398">
        <v>15</v>
      </c>
      <c r="C52" s="114" t="s">
        <v>206</v>
      </c>
      <c r="D52" s="121" t="s">
        <v>192</v>
      </c>
      <c r="E52" s="1505"/>
      <c r="F52" s="1135">
        <f ca="1">+MAX(0,F50*D86)</f>
        <v>0</v>
      </c>
      <c r="G52" s="1499"/>
      <c r="H52" s="1499"/>
      <c r="I52" s="116">
        <f ca="1">+MAX(0,I50*D93)</f>
        <v>0</v>
      </c>
      <c r="J52" s="1499"/>
      <c r="K52" s="1499"/>
      <c r="L52" s="400"/>
      <c r="M52" s="1499"/>
      <c r="N52" s="400"/>
      <c r="O52" s="1499"/>
      <c r="P52" s="398"/>
    </row>
    <row r="53" spans="2:16" s="389" customFormat="1">
      <c r="B53" s="398"/>
      <c r="C53" s="114"/>
      <c r="D53" s="121"/>
      <c r="E53" s="1505"/>
      <c r="F53" s="1135"/>
      <c r="G53" s="1499"/>
      <c r="H53" s="1499"/>
      <c r="I53" s="116"/>
      <c r="J53" s="1499"/>
      <c r="K53" s="1499"/>
      <c r="L53" s="400"/>
      <c r="M53" s="1499"/>
      <c r="N53" s="400"/>
      <c r="O53" s="1499"/>
      <c r="P53" s="398"/>
    </row>
    <row r="54" spans="2:16" s="389" customFormat="1">
      <c r="B54" s="398">
        <v>16</v>
      </c>
      <c r="C54" s="114" t="s">
        <v>473</v>
      </c>
      <c r="D54" s="121" t="s">
        <v>193</v>
      </c>
      <c r="E54" s="1505"/>
      <c r="F54" s="1135">
        <f ca="1">+F78</f>
        <v>2.2251718300876986</v>
      </c>
      <c r="G54" s="1499"/>
      <c r="H54" s="1499"/>
      <c r="I54" s="1135">
        <f ca="1">+I78</f>
        <v>0.33497697997210535</v>
      </c>
      <c r="J54" s="1499"/>
      <c r="K54" s="1499"/>
      <c r="L54" s="400"/>
      <c r="M54" s="1499"/>
      <c r="N54" s="400"/>
      <c r="O54" s="1499"/>
      <c r="P54" s="398"/>
    </row>
    <row r="55" spans="2:16" s="389" customFormat="1">
      <c r="B55" s="398"/>
      <c r="C55" s="112"/>
      <c r="D55" s="399"/>
      <c r="E55" s="1505"/>
      <c r="F55" s="1135"/>
      <c r="G55" s="1499"/>
      <c r="H55" s="1499"/>
      <c r="I55" s="117"/>
      <c r="J55" s="1499"/>
      <c r="K55" s="1499"/>
      <c r="L55" s="400"/>
      <c r="M55" s="1499"/>
      <c r="N55" s="400"/>
      <c r="O55" s="1499"/>
      <c r="P55" s="398"/>
    </row>
    <row r="56" spans="2:16" s="389" customFormat="1">
      <c r="B56" s="398">
        <v>17</v>
      </c>
      <c r="C56" s="114" t="s">
        <v>194</v>
      </c>
      <c r="D56" s="121" t="s">
        <v>207</v>
      </c>
      <c r="E56" s="1505"/>
      <c r="F56" s="1135">
        <f ca="1">+MAX(F52,F54)</f>
        <v>2.2251718300876986</v>
      </c>
      <c r="G56" s="1499"/>
      <c r="H56" s="1499"/>
      <c r="I56" s="1135">
        <f ca="1">+MAX(I52,I54)</f>
        <v>0.33497697997210535</v>
      </c>
      <c r="J56" s="1499"/>
      <c r="K56" s="1499"/>
      <c r="L56" s="400"/>
      <c r="M56" s="1499"/>
      <c r="N56" s="400"/>
      <c r="O56" s="1499"/>
      <c r="P56" s="398"/>
    </row>
    <row r="57" spans="2:16" s="389" customFormat="1">
      <c r="B57" s="398"/>
      <c r="C57" s="114"/>
      <c r="D57" s="121"/>
      <c r="E57" s="1505"/>
      <c r="F57" s="117"/>
      <c r="G57" s="1499"/>
      <c r="H57" s="1499"/>
      <c r="I57" s="116"/>
      <c r="J57" s="1499"/>
      <c r="K57" s="1499"/>
      <c r="L57" s="400"/>
      <c r="M57" s="1499"/>
      <c r="N57" s="400"/>
      <c r="O57" s="1499"/>
      <c r="P57" s="398"/>
    </row>
    <row r="58" spans="2:16" s="389" customFormat="1">
      <c r="B58" s="398">
        <v>18</v>
      </c>
      <c r="C58" s="114" t="s">
        <v>195</v>
      </c>
      <c r="D58" s="121" t="s">
        <v>196</v>
      </c>
      <c r="E58" s="1505"/>
      <c r="F58" s="117">
        <v>0</v>
      </c>
      <c r="G58" s="1499"/>
      <c r="H58" s="1499"/>
      <c r="I58" s="117">
        <v>0</v>
      </c>
      <c r="J58" s="1499"/>
      <c r="K58" s="1499"/>
      <c r="L58" s="400"/>
      <c r="M58" s="1499"/>
      <c r="N58" s="400"/>
      <c r="O58" s="1499"/>
      <c r="P58" s="398"/>
    </row>
    <row r="59" spans="2:16" s="389" customFormat="1">
      <c r="B59" s="398"/>
      <c r="C59" s="112"/>
      <c r="D59" s="399"/>
      <c r="E59" s="1505"/>
      <c r="F59" s="117"/>
      <c r="G59" s="1499"/>
      <c r="H59" s="1499"/>
      <c r="I59" s="117"/>
      <c r="J59" s="1499"/>
      <c r="K59" s="1499"/>
      <c r="L59" s="400"/>
      <c r="M59" s="1499"/>
      <c r="N59" s="400"/>
      <c r="O59" s="1499"/>
      <c r="P59" s="398"/>
    </row>
    <row r="60" spans="2:16" s="389" customFormat="1">
      <c r="B60" s="398">
        <v>19</v>
      </c>
      <c r="C60" s="112" t="s">
        <v>197</v>
      </c>
      <c r="D60" s="399" t="s">
        <v>198</v>
      </c>
      <c r="E60" s="1506"/>
      <c r="F60" s="117">
        <f ca="1">+F58/F56</f>
        <v>0</v>
      </c>
      <c r="G60" s="1500"/>
      <c r="H60" s="1500"/>
      <c r="I60" s="117">
        <f ca="1">+I58/I56</f>
        <v>0</v>
      </c>
      <c r="J60" s="1500"/>
      <c r="K60" s="1500"/>
      <c r="L60" s="400"/>
      <c r="M60" s="1500"/>
      <c r="N60" s="400"/>
      <c r="O60" s="1500"/>
      <c r="P60" s="398"/>
    </row>
    <row r="61" spans="2:16" s="389" customFormat="1">
      <c r="B61" s="398">
        <f t="shared" si="0"/>
        <v>20</v>
      </c>
      <c r="C61" s="114" t="s">
        <v>199</v>
      </c>
      <c r="D61" s="121" t="s">
        <v>200</v>
      </c>
      <c r="E61" s="115"/>
      <c r="F61" s="1135">
        <f ca="1">+F56</f>
        <v>2.2251718300876986</v>
      </c>
      <c r="G61" s="117"/>
      <c r="H61" s="117"/>
      <c r="I61" s="1135">
        <f ca="1">+I56</f>
        <v>0.33497697997210535</v>
      </c>
      <c r="J61" s="118"/>
      <c r="K61" s="398"/>
      <c r="L61" s="398"/>
      <c r="M61" s="398"/>
      <c r="N61" s="398"/>
      <c r="O61" s="398"/>
      <c r="P61" s="398"/>
    </row>
    <row r="62" spans="2:16" s="389" customFormat="1">
      <c r="B62" s="398"/>
      <c r="C62" s="112"/>
      <c r="D62" s="399"/>
      <c r="E62" s="113"/>
      <c r="F62" s="117"/>
      <c r="G62" s="117"/>
      <c r="H62" s="117"/>
      <c r="I62" s="112"/>
      <c r="J62" s="112"/>
      <c r="K62" s="398"/>
      <c r="L62" s="398"/>
      <c r="M62" s="398"/>
      <c r="N62" s="398"/>
      <c r="O62" s="398"/>
      <c r="P62" s="398"/>
    </row>
    <row r="63" spans="2:16" s="389" customFormat="1">
      <c r="B63" s="122"/>
      <c r="C63" s="123" t="s">
        <v>201</v>
      </c>
      <c r="D63" s="402"/>
      <c r="E63" s="402"/>
      <c r="F63" s="402"/>
      <c r="G63" s="402"/>
      <c r="H63" s="402"/>
      <c r="I63" s="124"/>
      <c r="J63" s="124"/>
      <c r="K63" s="403"/>
      <c r="L63" s="403"/>
      <c r="M63" s="403"/>
      <c r="N63" s="403"/>
      <c r="O63" s="403"/>
      <c r="P63" s="403"/>
    </row>
    <row r="64" spans="2:16" s="389" customFormat="1">
      <c r="B64" s="398">
        <v>21</v>
      </c>
      <c r="C64" s="112" t="s">
        <v>163</v>
      </c>
      <c r="D64" s="113" t="s">
        <v>164</v>
      </c>
      <c r="E64" s="1504"/>
      <c r="F64" s="117">
        <f>+F34</f>
        <v>58.171096834999993</v>
      </c>
      <c r="G64" s="1498"/>
      <c r="H64" s="1498"/>
      <c r="I64" s="117">
        <f>+I34</f>
        <v>52.960947008639991</v>
      </c>
      <c r="J64" s="1498"/>
      <c r="K64" s="1498"/>
      <c r="L64" s="400"/>
      <c r="M64" s="1498"/>
      <c r="N64" s="400"/>
      <c r="O64" s="1498"/>
      <c r="P64" s="398"/>
    </row>
    <row r="65" spans="2:16" s="389" customFormat="1">
      <c r="B65" s="398">
        <f t="shared" si="0"/>
        <v>22</v>
      </c>
      <c r="C65" s="112" t="s">
        <v>165</v>
      </c>
      <c r="D65" s="113" t="s">
        <v>166</v>
      </c>
      <c r="E65" s="1505"/>
      <c r="F65" s="117">
        <f ca="1">+F35</f>
        <v>47.71200480168531</v>
      </c>
      <c r="G65" s="1499"/>
      <c r="H65" s="1499"/>
      <c r="I65" s="117">
        <f ca="1">+I35</f>
        <v>51.31486848297854</v>
      </c>
      <c r="J65" s="1499"/>
      <c r="K65" s="1499"/>
      <c r="L65" s="400"/>
      <c r="M65" s="1499"/>
      <c r="N65" s="400"/>
      <c r="O65" s="1499"/>
      <c r="P65" s="398"/>
    </row>
    <row r="66" spans="2:16" s="389" customFormat="1">
      <c r="B66" s="398">
        <f>B65+1</f>
        <v>23</v>
      </c>
      <c r="C66" s="114" t="s">
        <v>167</v>
      </c>
      <c r="D66" s="115" t="s">
        <v>168</v>
      </c>
      <c r="E66" s="1505"/>
      <c r="F66" s="1135">
        <f ca="1">+F64-F65</f>
        <v>10.459092033314683</v>
      </c>
      <c r="G66" s="1499"/>
      <c r="H66" s="1499"/>
      <c r="I66" s="1135">
        <f ca="1">+I64-I65</f>
        <v>1.6460785256614514</v>
      </c>
      <c r="J66" s="1499"/>
      <c r="K66" s="1499"/>
      <c r="L66" s="400"/>
      <c r="M66" s="1499"/>
      <c r="N66" s="400"/>
      <c r="O66" s="1499"/>
      <c r="P66" s="398"/>
    </row>
    <row r="67" spans="2:16" s="389" customFormat="1">
      <c r="B67" s="398"/>
      <c r="C67" s="114"/>
      <c r="D67" s="115"/>
      <c r="E67" s="1505"/>
      <c r="F67" s="117"/>
      <c r="G67" s="1499"/>
      <c r="H67" s="1499"/>
      <c r="I67" s="118"/>
      <c r="J67" s="1499"/>
      <c r="K67" s="1499"/>
      <c r="L67" s="400"/>
      <c r="M67" s="1499"/>
      <c r="N67" s="400"/>
      <c r="O67" s="1499"/>
      <c r="P67" s="398"/>
    </row>
    <row r="68" spans="2:16" s="389" customFormat="1">
      <c r="B68" s="398">
        <v>24</v>
      </c>
      <c r="C68" s="114" t="s">
        <v>202</v>
      </c>
      <c r="D68" s="113"/>
      <c r="E68" s="1505"/>
      <c r="F68" s="117"/>
      <c r="G68" s="1499"/>
      <c r="H68" s="1499"/>
      <c r="I68" s="119"/>
      <c r="J68" s="1499"/>
      <c r="K68" s="1499"/>
      <c r="L68" s="400"/>
      <c r="M68" s="1499"/>
      <c r="N68" s="400"/>
      <c r="O68" s="1499"/>
      <c r="P68" s="398"/>
    </row>
    <row r="69" spans="2:16" s="389" customFormat="1">
      <c r="B69" s="398">
        <f t="shared" si="0"/>
        <v>25</v>
      </c>
      <c r="C69" s="112" t="s">
        <v>37</v>
      </c>
      <c r="D69" s="113"/>
      <c r="E69" s="1505"/>
      <c r="F69" s="117">
        <v>0</v>
      </c>
      <c r="G69" s="1499"/>
      <c r="H69" s="1499"/>
      <c r="I69" s="117">
        <v>0</v>
      </c>
      <c r="J69" s="1499"/>
      <c r="K69" s="1499"/>
      <c r="L69" s="400"/>
      <c r="M69" s="1499"/>
      <c r="N69" s="400"/>
      <c r="O69" s="1499"/>
      <c r="P69" s="398"/>
    </row>
    <row r="70" spans="2:16" s="389" customFormat="1">
      <c r="B70" s="398">
        <f t="shared" si="0"/>
        <v>26</v>
      </c>
      <c r="C70" s="121" t="s">
        <v>203</v>
      </c>
      <c r="D70" s="115" t="s">
        <v>172</v>
      </c>
      <c r="E70" s="1505"/>
      <c r="F70" s="1135">
        <f>+SUM(F69:F69)</f>
        <v>0</v>
      </c>
      <c r="G70" s="1499"/>
      <c r="H70" s="1499"/>
      <c r="I70" s="1135">
        <f>+SUM(I69:I69)</f>
        <v>0</v>
      </c>
      <c r="J70" s="1499"/>
      <c r="K70" s="1499"/>
      <c r="L70" s="400"/>
      <c r="M70" s="1499"/>
      <c r="N70" s="400"/>
      <c r="O70" s="1499"/>
      <c r="P70" s="398"/>
    </row>
    <row r="71" spans="2:16" s="389" customFormat="1">
      <c r="B71" s="398"/>
      <c r="C71" s="112"/>
      <c r="D71" s="113"/>
      <c r="E71" s="1505"/>
      <c r="F71" s="117"/>
      <c r="G71" s="1499"/>
      <c r="H71" s="1499"/>
      <c r="I71" s="120"/>
      <c r="J71" s="1499"/>
      <c r="K71" s="1499"/>
      <c r="L71" s="400"/>
      <c r="M71" s="1499"/>
      <c r="N71" s="400"/>
      <c r="O71" s="1499"/>
      <c r="P71" s="398"/>
    </row>
    <row r="72" spans="2:16" s="389" customFormat="1">
      <c r="B72" s="398">
        <v>27</v>
      </c>
      <c r="C72" s="114" t="s">
        <v>204</v>
      </c>
      <c r="D72" s="115"/>
      <c r="E72" s="1505"/>
      <c r="F72" s="117"/>
      <c r="G72" s="1499"/>
      <c r="H72" s="1499"/>
      <c r="I72" s="118"/>
      <c r="J72" s="1499"/>
      <c r="K72" s="1499"/>
      <c r="L72" s="400"/>
      <c r="M72" s="1499"/>
      <c r="N72" s="400"/>
      <c r="O72" s="1499"/>
      <c r="P72" s="398"/>
    </row>
    <row r="73" spans="2:16" s="389" customFormat="1">
      <c r="B73" s="398">
        <f t="shared" si="0"/>
        <v>28</v>
      </c>
      <c r="C73" s="112" t="s">
        <v>396</v>
      </c>
      <c r="D73" s="113"/>
      <c r="E73" s="1505"/>
      <c r="F73" s="117">
        <v>0</v>
      </c>
      <c r="G73" s="1499"/>
      <c r="H73" s="1499"/>
      <c r="I73" s="117">
        <v>0</v>
      </c>
      <c r="J73" s="1499"/>
      <c r="K73" s="1499"/>
      <c r="L73" s="400"/>
      <c r="M73" s="1499"/>
      <c r="N73" s="400"/>
      <c r="O73" s="1499"/>
      <c r="P73" s="398"/>
    </row>
    <row r="74" spans="2:16" s="389" customFormat="1">
      <c r="B74" s="398">
        <f t="shared" si="0"/>
        <v>29</v>
      </c>
      <c r="C74" s="121" t="s">
        <v>203</v>
      </c>
      <c r="D74" s="115" t="s">
        <v>174</v>
      </c>
      <c r="E74" s="1505"/>
      <c r="F74" s="1135">
        <f>+SUM(F73:F73)</f>
        <v>0</v>
      </c>
      <c r="G74" s="1499"/>
      <c r="H74" s="1499"/>
      <c r="I74" s="1135">
        <f>+SUM(I73:I73)</f>
        <v>0</v>
      </c>
      <c r="J74" s="1499"/>
      <c r="K74" s="1499"/>
      <c r="L74" s="400"/>
      <c r="M74" s="1499"/>
      <c r="N74" s="400"/>
      <c r="O74" s="1499"/>
      <c r="P74" s="398"/>
    </row>
    <row r="75" spans="2:16" s="389" customFormat="1">
      <c r="B75" s="398"/>
      <c r="C75" s="114"/>
      <c r="D75" s="115"/>
      <c r="E75" s="1505"/>
      <c r="F75" s="117"/>
      <c r="G75" s="1499"/>
      <c r="H75" s="1499"/>
      <c r="I75" s="118"/>
      <c r="J75" s="1499"/>
      <c r="K75" s="1499"/>
      <c r="L75" s="400"/>
      <c r="M75" s="1499"/>
      <c r="N75" s="400"/>
      <c r="O75" s="1499"/>
      <c r="P75" s="398"/>
    </row>
    <row r="76" spans="2:16" s="389" customFormat="1">
      <c r="B76" s="398">
        <v>37</v>
      </c>
      <c r="C76" s="114" t="s">
        <v>205</v>
      </c>
      <c r="D76" s="115" t="s">
        <v>208</v>
      </c>
      <c r="E76" s="1505"/>
      <c r="F76" s="1135">
        <f ca="1">+F66+F70-F74</f>
        <v>10.459092033314683</v>
      </c>
      <c r="G76" s="1499"/>
      <c r="H76" s="1499"/>
      <c r="I76" s="1135">
        <f ca="1">+I66+I70-I74</f>
        <v>1.6460785256614514</v>
      </c>
      <c r="J76" s="1499"/>
      <c r="K76" s="1499"/>
      <c r="L76" s="400"/>
      <c r="M76" s="1499"/>
      <c r="N76" s="400"/>
      <c r="O76" s="1499"/>
      <c r="P76" s="398"/>
    </row>
    <row r="77" spans="2:16" s="389" customFormat="1">
      <c r="B77" s="398"/>
      <c r="C77" s="112"/>
      <c r="D77" s="113"/>
      <c r="E77" s="1506"/>
      <c r="F77" s="117"/>
      <c r="G77" s="1500"/>
      <c r="H77" s="1500"/>
      <c r="I77" s="112"/>
      <c r="J77" s="1500"/>
      <c r="K77" s="1500"/>
      <c r="L77" s="400"/>
      <c r="M77" s="1500"/>
      <c r="N77" s="400"/>
      <c r="O77" s="1500"/>
      <c r="P77" s="398"/>
    </row>
    <row r="78" spans="2:16" s="389" customFormat="1">
      <c r="B78" s="398">
        <v>38</v>
      </c>
      <c r="C78" s="114" t="s">
        <v>473</v>
      </c>
      <c r="D78" s="115"/>
      <c r="E78" s="115"/>
      <c r="F78" s="1135">
        <f ca="1">+F76*G86</f>
        <v>2.2251718300876986</v>
      </c>
      <c r="G78" s="117"/>
      <c r="H78" s="117"/>
      <c r="I78" s="118">
        <f ca="1">+I76*F93</f>
        <v>0.33497697997210535</v>
      </c>
      <c r="J78" s="118"/>
      <c r="K78" s="398"/>
      <c r="L78" s="398"/>
      <c r="M78" s="398"/>
      <c r="N78" s="398"/>
      <c r="O78" s="398"/>
      <c r="P78" s="398"/>
    </row>
    <row r="80" spans="2:16" s="170" customFormat="1">
      <c r="B80" s="541"/>
    </row>
    <row r="81" spans="2:12" s="170" customFormat="1">
      <c r="B81" s="541"/>
      <c r="D81" s="1497" t="s">
        <v>38</v>
      </c>
      <c r="E81" s="1497"/>
    </row>
    <row r="82" spans="2:12">
      <c r="C82" s="32"/>
      <c r="D82" s="1125" t="s">
        <v>1296</v>
      </c>
      <c r="E82" s="1125" t="s">
        <v>1299</v>
      </c>
      <c r="F82" s="1125" t="s">
        <v>1300</v>
      </c>
      <c r="G82" s="1125" t="s">
        <v>1301</v>
      </c>
      <c r="J82" s="72"/>
      <c r="K82" s="72"/>
      <c r="L82" s="72"/>
    </row>
    <row r="83" spans="2:12">
      <c r="C83" s="29" t="s">
        <v>1297</v>
      </c>
      <c r="D83" s="1126">
        <v>0.3</v>
      </c>
      <c r="E83" s="1127">
        <v>0.185</v>
      </c>
      <c r="F83" s="1127">
        <v>0.185</v>
      </c>
      <c r="G83" s="1127">
        <v>0.185</v>
      </c>
    </row>
    <row r="84" spans="2:12">
      <c r="C84" s="29" t="s">
        <v>1302</v>
      </c>
      <c r="D84" s="1128">
        <v>0</v>
      </c>
      <c r="E84" s="1128">
        <v>0</v>
      </c>
      <c r="F84" s="1128">
        <f>7%*F83</f>
        <v>1.2950000000000001E-2</v>
      </c>
      <c r="G84" s="1128">
        <f>12%*G83</f>
        <v>2.2199999999999998E-2</v>
      </c>
    </row>
    <row r="85" spans="2:12">
      <c r="C85" s="29" t="s">
        <v>1298</v>
      </c>
      <c r="D85" s="1128">
        <f>3%*D83</f>
        <v>8.9999999999999993E-3</v>
      </c>
      <c r="E85" s="1128">
        <f>3%*E83</f>
        <v>5.5499999999999994E-3</v>
      </c>
      <c r="F85" s="1128">
        <f>3%*F83</f>
        <v>5.5499999999999994E-3</v>
      </c>
      <c r="G85" s="1128">
        <f>3%*G83</f>
        <v>5.5499999999999994E-3</v>
      </c>
    </row>
    <row r="86" spans="2:12">
      <c r="C86" s="29" t="s">
        <v>115</v>
      </c>
      <c r="D86" s="741">
        <f>SUM(D83:D85)</f>
        <v>0.309</v>
      </c>
      <c r="E86" s="741">
        <f t="shared" ref="E86:G86" si="1">SUM(E83:E85)</f>
        <v>0.19055</v>
      </c>
      <c r="F86" s="741">
        <f t="shared" si="1"/>
        <v>0.20349999999999999</v>
      </c>
      <c r="G86" s="741">
        <f t="shared" si="1"/>
        <v>0.21274999999999999</v>
      </c>
    </row>
    <row r="88" spans="2:12">
      <c r="D88" s="1497" t="s">
        <v>146</v>
      </c>
      <c r="E88" s="1497"/>
      <c r="F88" s="1497"/>
      <c r="G88" s="1497"/>
    </row>
    <row r="89" spans="2:12">
      <c r="D89" s="1125" t="s">
        <v>1296</v>
      </c>
      <c r="E89" s="1125" t="s">
        <v>1299</v>
      </c>
      <c r="F89" s="1125" t="s">
        <v>1300</v>
      </c>
      <c r="G89" s="1125" t="s">
        <v>1301</v>
      </c>
    </row>
    <row r="90" spans="2:12">
      <c r="C90" s="29" t="s">
        <v>1297</v>
      </c>
      <c r="D90" s="1126">
        <v>0.3</v>
      </c>
      <c r="E90" s="1127">
        <v>0.185</v>
      </c>
      <c r="F90" s="1127">
        <v>0.185</v>
      </c>
      <c r="G90" s="1127">
        <v>0.185</v>
      </c>
    </row>
    <row r="91" spans="2:12">
      <c r="C91" s="29" t="s">
        <v>1302</v>
      </c>
      <c r="D91" s="1128">
        <v>0</v>
      </c>
      <c r="E91" s="1128">
        <v>0</v>
      </c>
      <c r="F91" s="1128">
        <f>7%*F90</f>
        <v>1.2950000000000001E-2</v>
      </c>
      <c r="G91" s="1128">
        <f>12%*G90</f>
        <v>2.2199999999999998E-2</v>
      </c>
    </row>
    <row r="92" spans="2:12">
      <c r="C92" s="29" t="s">
        <v>1298</v>
      </c>
      <c r="D92" s="1128">
        <f>3%*D90</f>
        <v>8.9999999999999993E-3</v>
      </c>
      <c r="E92" s="1128">
        <f>3%*E90</f>
        <v>5.5499999999999994E-3</v>
      </c>
      <c r="F92" s="1128">
        <f>3%*F90</f>
        <v>5.5499999999999994E-3</v>
      </c>
      <c r="G92" s="1128">
        <f>3%*G90</f>
        <v>5.5499999999999994E-3</v>
      </c>
    </row>
    <row r="93" spans="2:12">
      <c r="C93" s="29" t="s">
        <v>115</v>
      </c>
      <c r="D93" s="741">
        <f>SUM(D90:D92)</f>
        <v>0.309</v>
      </c>
      <c r="E93" s="741">
        <f>SUM(E90:E92)</f>
        <v>0.19055</v>
      </c>
      <c r="F93" s="741">
        <f>SUM(F90:F92)</f>
        <v>0.20349999999999999</v>
      </c>
      <c r="G93" s="741">
        <f>SUM(G90:G92)</f>
        <v>0.21274999999999999</v>
      </c>
    </row>
    <row r="95" spans="2:12">
      <c r="D95" s="1497" t="s">
        <v>147</v>
      </c>
      <c r="E95" s="1497"/>
      <c r="F95" s="1497"/>
      <c r="G95" s="1497"/>
    </row>
    <row r="96" spans="2:12">
      <c r="D96" s="1125" t="s">
        <v>1296</v>
      </c>
      <c r="E96" s="1125" t="s">
        <v>1299</v>
      </c>
      <c r="F96" s="1125" t="s">
        <v>1300</v>
      </c>
      <c r="G96" s="1125" t="s">
        <v>1301</v>
      </c>
    </row>
    <row r="97" spans="3:7">
      <c r="C97" s="29" t="s">
        <v>1297</v>
      </c>
      <c r="D97" s="1126">
        <v>0.3</v>
      </c>
      <c r="E97" s="1127">
        <v>0.185</v>
      </c>
      <c r="F97" s="1127">
        <v>0.185</v>
      </c>
      <c r="G97" s="1127">
        <v>0.185</v>
      </c>
    </row>
    <row r="98" spans="3:7">
      <c r="C98" s="29" t="s">
        <v>1302</v>
      </c>
      <c r="D98" s="1128">
        <v>0</v>
      </c>
      <c r="E98" s="1128">
        <v>0</v>
      </c>
      <c r="F98" s="1128">
        <f>7%*F97</f>
        <v>1.2950000000000001E-2</v>
      </c>
      <c r="G98" s="1128">
        <f>12%*G97</f>
        <v>2.2199999999999998E-2</v>
      </c>
    </row>
    <row r="99" spans="3:7">
      <c r="C99" s="29" t="s">
        <v>1298</v>
      </c>
      <c r="D99" s="1128">
        <f>3%*D97</f>
        <v>8.9999999999999993E-3</v>
      </c>
      <c r="E99" s="1128">
        <f>3%*E97</f>
        <v>5.5499999999999994E-3</v>
      </c>
      <c r="F99" s="1128">
        <f>3%*F97</f>
        <v>5.5499999999999994E-3</v>
      </c>
      <c r="G99" s="1128">
        <f>3%*G97</f>
        <v>5.5499999999999994E-3</v>
      </c>
    </row>
    <row r="100" spans="3:7">
      <c r="C100" s="29" t="s">
        <v>115</v>
      </c>
      <c r="D100" s="741">
        <f>SUM(D97:D99)</f>
        <v>0.309</v>
      </c>
      <c r="E100" s="741">
        <f>SUM(E97:E99)</f>
        <v>0.19055</v>
      </c>
      <c r="F100" s="741">
        <f>SUM(F97:F99)</f>
        <v>0.20349999999999999</v>
      </c>
      <c r="G100" s="741">
        <f>SUM(G97:G99)</f>
        <v>0.21274999999999999</v>
      </c>
    </row>
  </sheetData>
  <mergeCells count="41">
    <mergeCell ref="K34:K60"/>
    <mergeCell ref="J34:J60"/>
    <mergeCell ref="M34:M60"/>
    <mergeCell ref="K64:K77"/>
    <mergeCell ref="O7:P7"/>
    <mergeCell ref="Q7:R7"/>
    <mergeCell ref="O32:P32"/>
    <mergeCell ref="O64:O77"/>
    <mergeCell ref="O34:O60"/>
    <mergeCell ref="B29:P29"/>
    <mergeCell ref="B32:B33"/>
    <mergeCell ref="C32:C33"/>
    <mergeCell ref="D32:D33"/>
    <mergeCell ref="K32:L32"/>
    <mergeCell ref="M32:N32"/>
    <mergeCell ref="E32:G32"/>
    <mergeCell ref="J64:J77"/>
    <mergeCell ref="M64:M77"/>
    <mergeCell ref="H32:J32"/>
    <mergeCell ref="E34:E60"/>
    <mergeCell ref="J7:N7"/>
    <mergeCell ref="C14:I14"/>
    <mergeCell ref="C15:K15"/>
    <mergeCell ref="B17:F17"/>
    <mergeCell ref="B19:B21"/>
    <mergeCell ref="C19:C21"/>
    <mergeCell ref="D19:D21"/>
    <mergeCell ref="B7:B9"/>
    <mergeCell ref="C7:C9"/>
    <mergeCell ref="D7:F7"/>
    <mergeCell ref="G7:I7"/>
    <mergeCell ref="D88:E88"/>
    <mergeCell ref="F88:G88"/>
    <mergeCell ref="D95:E95"/>
    <mergeCell ref="F95:G95"/>
    <mergeCell ref="H34:H60"/>
    <mergeCell ref="G64:G77"/>
    <mergeCell ref="H64:H77"/>
    <mergeCell ref="D81:E81"/>
    <mergeCell ref="E64:E77"/>
    <mergeCell ref="G34:G60"/>
  </mergeCells>
  <pageMargins left="1.1200000000000001" right="0.27" top="1.24" bottom="1" header="0.5" footer="0.5"/>
  <pageSetup paperSize="9" scale="35" orientation="landscape" r:id="rId1"/>
  <headerFooter alignWithMargins="0"/>
  <rowBreaks count="1" manualBreakCount="1">
    <brk id="26"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C000"/>
    <pageSetUpPr fitToPage="1"/>
  </sheetPr>
  <dimension ref="B1:Q63"/>
  <sheetViews>
    <sheetView showGridLines="0" view="pageBreakPreview" topLeftCell="A51" zoomScale="60" zoomScaleNormal="70" workbookViewId="0">
      <selection activeCell="C11" sqref="C11:C12"/>
    </sheetView>
  </sheetViews>
  <sheetFormatPr defaultColWidth="9.140625" defaultRowHeight="15"/>
  <cols>
    <col min="1" max="1" width="9.140625" style="18"/>
    <col min="2" max="2" width="29.42578125" style="18" customWidth="1"/>
    <col min="3" max="3" width="15.7109375" style="18" customWidth="1"/>
    <col min="4" max="4" width="14" style="18" customWidth="1"/>
    <col min="5" max="5" width="17.7109375" style="18" customWidth="1"/>
    <col min="6" max="8" width="19" style="18" customWidth="1"/>
    <col min="9" max="9" width="14.140625" style="18" customWidth="1"/>
    <col min="10" max="10" width="17.85546875" style="18" customWidth="1"/>
    <col min="11" max="11" width="19.7109375" style="18" customWidth="1"/>
    <col min="12" max="13" width="19" style="18" customWidth="1"/>
    <col min="14" max="14" width="18.5703125" style="18" customWidth="1"/>
    <col min="15" max="15" width="21.42578125" style="18" customWidth="1"/>
    <col min="16" max="16" width="18" style="18" customWidth="1"/>
    <col min="17" max="17" width="18.85546875" style="18" customWidth="1"/>
    <col min="18" max="16384" width="9.140625" style="18"/>
  </cols>
  <sheetData>
    <row r="1" spans="2:17" s="155" customFormat="1">
      <c r="B1" s="61"/>
    </row>
    <row r="2" spans="2:17" s="155" customFormat="1">
      <c r="B2" s="19"/>
      <c r="C2" s="22"/>
      <c r="D2" s="183"/>
      <c r="F2" s="22"/>
      <c r="G2" s="22"/>
      <c r="H2" s="22"/>
      <c r="I2" s="22"/>
      <c r="J2" s="22"/>
      <c r="K2" s="375" t="s">
        <v>906</v>
      </c>
      <c r="L2" s="22"/>
      <c r="M2" s="22"/>
    </row>
    <row r="3" spans="2:17" s="155" customFormat="1">
      <c r="B3" s="21"/>
      <c r="C3" s="60"/>
      <c r="D3" s="185"/>
      <c r="F3" s="60"/>
      <c r="G3" s="60"/>
      <c r="H3" s="60"/>
      <c r="I3" s="60"/>
      <c r="J3" s="60"/>
      <c r="K3" s="373" t="s">
        <v>722</v>
      </c>
      <c r="L3" s="60"/>
      <c r="M3" s="60"/>
    </row>
    <row r="4" spans="2:17" s="155" customFormat="1">
      <c r="C4" s="154"/>
      <c r="D4" s="189"/>
      <c r="F4" s="154"/>
      <c r="G4" s="154"/>
      <c r="H4" s="154"/>
      <c r="I4" s="154"/>
      <c r="J4" s="154"/>
      <c r="K4" s="189" t="s">
        <v>336</v>
      </c>
      <c r="L4" s="154"/>
      <c r="M4" s="154"/>
    </row>
    <row r="6" spans="2:17">
      <c r="B6" s="58" t="s">
        <v>38</v>
      </c>
      <c r="C6" s="154"/>
      <c r="D6" s="154"/>
      <c r="E6" s="154"/>
      <c r="F6" s="154"/>
      <c r="G6" s="154"/>
      <c r="H6" s="154"/>
      <c r="I6" s="154"/>
      <c r="J6" s="154"/>
      <c r="K6" s="154"/>
      <c r="L6" s="154"/>
      <c r="M6" s="154"/>
    </row>
    <row r="7" spans="2:17">
      <c r="B7" s="243" t="s">
        <v>12</v>
      </c>
      <c r="D7" s="37"/>
      <c r="E7" s="37"/>
      <c r="F7" s="37"/>
      <c r="G7" s="37"/>
      <c r="H7" s="37"/>
      <c r="I7" s="37"/>
      <c r="J7" s="37"/>
    </row>
    <row r="8" spans="2:17" s="91" customFormat="1" ht="71.25">
      <c r="B8" s="1428" t="s">
        <v>252</v>
      </c>
      <c r="C8" s="251" t="s">
        <v>368</v>
      </c>
      <c r="D8" s="251" t="s">
        <v>369</v>
      </c>
      <c r="E8" s="251" t="s">
        <v>370</v>
      </c>
      <c r="F8" s="251" t="s">
        <v>1088</v>
      </c>
      <c r="G8" s="251" t="s">
        <v>595</v>
      </c>
      <c r="H8" s="251" t="s">
        <v>594</v>
      </c>
      <c r="I8" s="251" t="s">
        <v>1108</v>
      </c>
      <c r="J8" s="251" t="s">
        <v>840</v>
      </c>
      <c r="K8" s="251" t="s">
        <v>371</v>
      </c>
      <c r="L8" s="251" t="s">
        <v>372</v>
      </c>
      <c r="M8" s="251" t="s">
        <v>373</v>
      </c>
      <c r="N8" s="251" t="s">
        <v>589</v>
      </c>
      <c r="O8" s="251" t="s">
        <v>590</v>
      </c>
      <c r="P8" s="339" t="s">
        <v>597</v>
      </c>
      <c r="Q8" s="339" t="s">
        <v>42</v>
      </c>
    </row>
    <row r="9" spans="2:17" s="91" customFormat="1" ht="28.5">
      <c r="B9" s="1507"/>
      <c r="C9" s="339" t="s">
        <v>72</v>
      </c>
      <c r="D9" s="339" t="s">
        <v>73</v>
      </c>
      <c r="E9" s="339" t="s">
        <v>591</v>
      </c>
      <c r="F9" s="339" t="s">
        <v>419</v>
      </c>
      <c r="G9" s="339" t="s">
        <v>420</v>
      </c>
      <c r="H9" s="339" t="s">
        <v>592</v>
      </c>
      <c r="I9" s="339" t="s">
        <v>676</v>
      </c>
      <c r="J9" s="339" t="s">
        <v>593</v>
      </c>
      <c r="K9" s="339" t="s">
        <v>1111</v>
      </c>
      <c r="L9" s="339" t="s">
        <v>1104</v>
      </c>
      <c r="M9" s="339" t="s">
        <v>1105</v>
      </c>
      <c r="N9" s="339" t="s">
        <v>1106</v>
      </c>
      <c r="O9" s="339" t="s">
        <v>596</v>
      </c>
      <c r="P9" s="339" t="s">
        <v>1107</v>
      </c>
      <c r="Q9" s="339" t="s">
        <v>711</v>
      </c>
    </row>
    <row r="10" spans="2:17">
      <c r="B10" s="233"/>
      <c r="C10" s="146"/>
      <c r="D10" s="234"/>
      <c r="E10" s="234"/>
      <c r="F10" s="234"/>
      <c r="G10" s="234"/>
      <c r="H10" s="234"/>
      <c r="I10" s="234"/>
      <c r="J10" s="234"/>
      <c r="K10" s="234"/>
      <c r="L10" s="234"/>
      <c r="M10" s="146"/>
      <c r="N10" s="146"/>
      <c r="O10" s="146"/>
      <c r="P10" s="146"/>
      <c r="Q10" s="146"/>
    </row>
    <row r="11" spans="2:17">
      <c r="B11" s="551" t="str">
        <f>'F1'!B11</f>
        <v>HT Category</v>
      </c>
      <c r="C11" s="29"/>
      <c r="D11" s="29"/>
      <c r="E11" s="29"/>
      <c r="F11" s="29"/>
      <c r="G11" s="29"/>
      <c r="H11" s="29"/>
      <c r="I11" s="29"/>
      <c r="J11" s="29"/>
      <c r="K11" s="29"/>
      <c r="L11" s="29"/>
      <c r="M11" s="29"/>
      <c r="N11" s="29"/>
      <c r="O11" s="29"/>
      <c r="P11" s="29"/>
      <c r="Q11" s="29"/>
    </row>
    <row r="12" spans="2:17">
      <c r="B12" s="550" t="str">
        <f>'F1'!B12</f>
        <v>HT I</v>
      </c>
      <c r="C12" s="552">
        <f>'F13 B'!B362</f>
        <v>43</v>
      </c>
      <c r="D12" s="552">
        <f>'F13 B'!C362/10^6</f>
        <v>74.911516890000001</v>
      </c>
      <c r="E12" s="552">
        <f>'F13 B'!H362/10^7</f>
        <v>3.935413</v>
      </c>
      <c r="F12" s="552">
        <f>+('F13 B'!I362+'F13 B'!J362+'F13 B'!K362)/10^7</f>
        <v>51.477204710999999</v>
      </c>
      <c r="G12" s="466">
        <v>0</v>
      </c>
      <c r="H12" s="466">
        <f>+'F13 B'!L362/10^7</f>
        <v>0</v>
      </c>
      <c r="I12" s="466">
        <f>+'F13 B'!O362/10^7</f>
        <v>-2.2628233899999999</v>
      </c>
      <c r="J12" s="466">
        <f>+'F13 B'!P362/10^7</f>
        <v>0.1092519</v>
      </c>
      <c r="K12" s="466">
        <f>SUM(E12:J12)</f>
        <v>53.259046220999991</v>
      </c>
      <c r="L12" s="466">
        <v>0</v>
      </c>
      <c r="M12" s="466">
        <f>K12+L12</f>
        <v>53.259046220999991</v>
      </c>
      <c r="N12" s="466">
        <f>M12*10/D12</f>
        <v>7.1095938825008078</v>
      </c>
      <c r="O12" s="1508" t="s">
        <v>1109</v>
      </c>
      <c r="P12" s="1509"/>
      <c r="Q12" s="29"/>
    </row>
    <row r="13" spans="2:17">
      <c r="B13" s="550" t="str">
        <f>'F1'!B13</f>
        <v>HT II</v>
      </c>
      <c r="C13" s="552">
        <f>'F13 B'!B363</f>
        <v>0</v>
      </c>
      <c r="D13" s="552">
        <f>'F13 B'!C363/10^6</f>
        <v>0.10615620000000001</v>
      </c>
      <c r="E13" s="552">
        <f>'F13 B'!H363/10^7</f>
        <v>5.0255000000000001E-2</v>
      </c>
      <c r="F13" s="552">
        <f>+('F13 B'!I363+'F13 B'!J363+'F13 B'!K363)/10^7</f>
        <v>0.109137462</v>
      </c>
      <c r="G13" s="466">
        <v>0</v>
      </c>
      <c r="H13" s="466">
        <f>+'F13 B'!L363/10^7</f>
        <v>0</v>
      </c>
      <c r="I13" s="466">
        <f>+'F13 B'!O363/10^7</f>
        <v>1.5264665E-2</v>
      </c>
      <c r="J13" s="466">
        <f>+'F13 B'!P363/10^7</f>
        <v>0</v>
      </c>
      <c r="K13" s="466">
        <f>SUM(E13:J13)</f>
        <v>0.17465712700000002</v>
      </c>
      <c r="L13" s="466">
        <v>0</v>
      </c>
      <c r="M13" s="466">
        <f>K13+L13</f>
        <v>0.17465712700000002</v>
      </c>
      <c r="N13" s="466">
        <f>M13*10/D13</f>
        <v>16.452842792036641</v>
      </c>
      <c r="O13" s="1510"/>
      <c r="P13" s="1511"/>
      <c r="Q13" s="105"/>
    </row>
    <row r="14" spans="2:17">
      <c r="B14" s="550" t="str">
        <f>'F1'!B14</f>
        <v>Sub-total</v>
      </c>
      <c r="C14" s="558">
        <f t="shared" ref="C14:F14" si="0">SUM(C12:C13)</f>
        <v>43</v>
      </c>
      <c r="D14" s="558">
        <f t="shared" si="0"/>
        <v>75.017673090000002</v>
      </c>
      <c r="E14" s="558">
        <f t="shared" si="0"/>
        <v>3.985668</v>
      </c>
      <c r="F14" s="558">
        <f t="shared" si="0"/>
        <v>51.586342172999998</v>
      </c>
      <c r="G14" s="468">
        <f t="shared" ref="G14" si="1">SUM(G12:G13)</f>
        <v>0</v>
      </c>
      <c r="H14" s="468">
        <f t="shared" ref="H14" si="2">SUM(H12:H13)</f>
        <v>0</v>
      </c>
      <c r="I14" s="468">
        <f>SUM(I12:I13)</f>
        <v>-2.2475587249999998</v>
      </c>
      <c r="J14" s="468">
        <f>SUM(J12:J13)</f>
        <v>0.1092519</v>
      </c>
      <c r="K14" s="468">
        <f t="shared" ref="K14" si="3">SUM(K12:K13)</f>
        <v>53.433703347999995</v>
      </c>
      <c r="L14" s="468">
        <f t="shared" ref="L14" si="4">SUM(L12:L13)</f>
        <v>0</v>
      </c>
      <c r="M14" s="468">
        <f t="shared" ref="M14" si="5">SUM(M12:M13)</f>
        <v>53.433703347999995</v>
      </c>
      <c r="N14" s="466">
        <f>M14*10/D14</f>
        <v>7.1228153509766496</v>
      </c>
      <c r="O14" s="1510"/>
      <c r="P14" s="1511"/>
      <c r="Q14" s="105"/>
    </row>
    <row r="15" spans="2:17">
      <c r="B15" s="551" t="str">
        <f>'F1'!B16</f>
        <v>LT Category</v>
      </c>
      <c r="C15" s="552">
        <f>'F13 B'!B365</f>
        <v>0</v>
      </c>
      <c r="D15" s="552">
        <f>'F13 B'!C365/10^6</f>
        <v>0</v>
      </c>
      <c r="E15" s="552">
        <f>'F13 B'!H365/10^7</f>
        <v>0</v>
      </c>
      <c r="F15" s="552">
        <f>'F13 B'!R365/10^7</f>
        <v>0</v>
      </c>
      <c r="G15" s="560"/>
      <c r="H15" s="560"/>
      <c r="I15" s="560"/>
      <c r="J15" s="560"/>
      <c r="K15" s="560"/>
      <c r="L15" s="560"/>
      <c r="M15" s="560"/>
      <c r="N15" s="105"/>
      <c r="O15" s="1510"/>
      <c r="P15" s="1511"/>
      <c r="Q15" s="105"/>
    </row>
    <row r="16" spans="2:17">
      <c r="B16" s="550" t="str">
        <f>'F1'!B17</f>
        <v>LT II A</v>
      </c>
      <c r="C16" s="552">
        <f>'F13 B'!B366</f>
        <v>8</v>
      </c>
      <c r="D16" s="552">
        <f>'F13 B'!C366/10^6</f>
        <v>0.1121214</v>
      </c>
      <c r="E16" s="552">
        <f>'F13 B'!H366/10^7</f>
        <v>1.9380000000000001E-3</v>
      </c>
      <c r="F16" s="552">
        <f>+('F13 B'!I366+'F13 B'!J366+'F13 B'!K366)/10^7</f>
        <v>8.8222339999999996E-2</v>
      </c>
      <c r="G16" s="466">
        <v>0</v>
      </c>
      <c r="H16" s="466">
        <f>+'F13 B'!L366/10^7</f>
        <v>0</v>
      </c>
      <c r="I16" s="466">
        <f>+'F13 B'!O366/10^7</f>
        <v>0</v>
      </c>
      <c r="J16" s="466">
        <f>+'F13 B'!P366/10^7</f>
        <v>0</v>
      </c>
      <c r="K16" s="466">
        <f>SUM(E16:J16)</f>
        <v>9.0160339999999992E-2</v>
      </c>
      <c r="L16" s="466">
        <v>0</v>
      </c>
      <c r="M16" s="466">
        <f t="shared" ref="M16:M20" si="6">K16+L16</f>
        <v>9.0160339999999992E-2</v>
      </c>
      <c r="N16" s="466">
        <f t="shared" ref="N16:N20" si="7">M16*10/D16</f>
        <v>8.041314146987105</v>
      </c>
      <c r="O16" s="1510"/>
      <c r="P16" s="1511"/>
      <c r="Q16" s="105"/>
    </row>
    <row r="17" spans="2:17">
      <c r="B17" s="550" t="str">
        <f>'F1'!B18</f>
        <v>LT II B</v>
      </c>
      <c r="C17" s="552">
        <f>'F13 B'!B367</f>
        <v>8</v>
      </c>
      <c r="D17" s="552">
        <f>'F13 B'!C367/10^6</f>
        <v>0.29657299999999998</v>
      </c>
      <c r="E17" s="552">
        <f>'F13 B'!H367/10^7</f>
        <v>2.4996000000000001E-2</v>
      </c>
      <c r="F17" s="552">
        <f>+('F13 B'!I367+'F13 B'!J367+'F13 B'!K367)/10^7</f>
        <v>0.24803815199999996</v>
      </c>
      <c r="G17" s="466">
        <v>0</v>
      </c>
      <c r="H17" s="466">
        <f>+'F13 B'!L367/10^7</f>
        <v>0</v>
      </c>
      <c r="I17" s="466">
        <f>+'F13 B'!O367/10^7</f>
        <v>3.6466299999999977E-4</v>
      </c>
      <c r="J17" s="466">
        <f>+'F13 B'!P367/10^7</f>
        <v>2.7498510000000002E-3</v>
      </c>
      <c r="K17" s="466">
        <f t="shared" ref="K17:K20" si="8">SUM(E17:J17)</f>
        <v>0.27614866599999999</v>
      </c>
      <c r="L17" s="466">
        <v>0</v>
      </c>
      <c r="M17" s="466">
        <f t="shared" si="6"/>
        <v>0.27614866599999999</v>
      </c>
      <c r="N17" s="466">
        <f t="shared" si="7"/>
        <v>9.3113218667916513</v>
      </c>
      <c r="O17" s="1510"/>
      <c r="P17" s="1511"/>
      <c r="Q17" s="105"/>
    </row>
    <row r="18" spans="2:17">
      <c r="B18" s="550" t="str">
        <f>'F1'!B19</f>
        <v>LT II C</v>
      </c>
      <c r="C18" s="552">
        <f>'F13 B'!B368</f>
        <v>0</v>
      </c>
      <c r="D18" s="552">
        <f>'F13 B'!C368/10^6</f>
        <v>0</v>
      </c>
      <c r="E18" s="552">
        <f>'F13 B'!H368/10^7</f>
        <v>0</v>
      </c>
      <c r="F18" s="552">
        <f>+('F13 B'!I368+'F13 B'!J368+'F13 B'!K368)/10^7</f>
        <v>0</v>
      </c>
      <c r="G18" s="466">
        <v>0</v>
      </c>
      <c r="H18" s="466">
        <f>+'F13 B'!L368/10^7</f>
        <v>0</v>
      </c>
      <c r="I18" s="466">
        <f>+'F13 B'!O368/10^7</f>
        <v>0</v>
      </c>
      <c r="J18" s="466">
        <f>+'F13 B'!P368/10^7</f>
        <v>0</v>
      </c>
      <c r="K18" s="466">
        <f t="shared" si="8"/>
        <v>0</v>
      </c>
      <c r="L18" s="466">
        <v>0</v>
      </c>
      <c r="M18" s="466">
        <f t="shared" si="6"/>
        <v>0</v>
      </c>
      <c r="N18" s="466">
        <v>0</v>
      </c>
      <c r="O18" s="1510"/>
      <c r="P18" s="1511"/>
      <c r="Q18" s="105"/>
    </row>
    <row r="19" spans="2:17">
      <c r="B19" s="550" t="str">
        <f>'F1'!B20</f>
        <v>LT V A</v>
      </c>
      <c r="C19" s="552">
        <f>'F13 B'!B369</f>
        <v>17</v>
      </c>
      <c r="D19" s="552">
        <f>'F13 B'!C369/10^6</f>
        <v>0.28949809999999998</v>
      </c>
      <c r="E19" s="552">
        <f>'F13 B'!H369/10^7</f>
        <v>3.4770000000000001E-3</v>
      </c>
      <c r="F19" s="552">
        <f>+('F13 B'!I369+'F13 B'!J369+'F13 B'!K369)/10^7</f>
        <v>0.14648604600000001</v>
      </c>
      <c r="G19" s="466">
        <v>0</v>
      </c>
      <c r="H19" s="466">
        <f>+'F13 B'!L369/10^7</f>
        <v>0</v>
      </c>
      <c r="I19" s="466">
        <f>+'F13 B'!O369/10^7</f>
        <v>0</v>
      </c>
      <c r="J19" s="466">
        <f>+'F13 B'!P369/10^7</f>
        <v>0</v>
      </c>
      <c r="K19" s="466">
        <f t="shared" si="8"/>
        <v>0.14996304600000002</v>
      </c>
      <c r="L19" s="466">
        <v>0</v>
      </c>
      <c r="M19" s="466">
        <f t="shared" si="6"/>
        <v>0.14996304600000002</v>
      </c>
      <c r="N19" s="466">
        <f t="shared" si="7"/>
        <v>5.1801046708078573</v>
      </c>
      <c r="O19" s="1510"/>
      <c r="P19" s="1511"/>
      <c r="Q19" s="105"/>
    </row>
    <row r="20" spans="2:17">
      <c r="B20" s="550" t="str">
        <f>'F1'!B21</f>
        <v>LT V B</v>
      </c>
      <c r="C20" s="552">
        <f>'F13 B'!B370</f>
        <v>29</v>
      </c>
      <c r="D20" s="552">
        <f>'F13 B'!C370/10^6</f>
        <v>6.1571993699999998</v>
      </c>
      <c r="E20" s="552">
        <f>'F13 B'!H370/10^7</f>
        <v>0.20270099999999999</v>
      </c>
      <c r="F20" s="552">
        <f>+('F13 B'!I370+'F13 B'!J370+'F13 B'!K370)/10^7</f>
        <v>4.2253420779999997</v>
      </c>
      <c r="G20" s="466">
        <v>0</v>
      </c>
      <c r="H20" s="466">
        <f>+'F13 B'!L370/10^7</f>
        <v>0</v>
      </c>
      <c r="I20" s="466">
        <f>+'F13 B'!O370/10^7</f>
        <v>-0.21917310299999998</v>
      </c>
      <c r="J20" s="466">
        <f>+'F13 B'!P370/10^7</f>
        <v>1.225146E-2</v>
      </c>
      <c r="K20" s="466">
        <f t="shared" si="8"/>
        <v>4.2211214349999997</v>
      </c>
      <c r="L20" s="466">
        <v>0</v>
      </c>
      <c r="M20" s="466">
        <f t="shared" si="6"/>
        <v>4.2211214349999997</v>
      </c>
      <c r="N20" s="466">
        <f t="shared" si="7"/>
        <v>6.8555867389429688</v>
      </c>
      <c r="O20" s="1510"/>
      <c r="P20" s="1511"/>
      <c r="Q20" s="105"/>
    </row>
    <row r="21" spans="2:17">
      <c r="B21" s="550" t="str">
        <f>'F1'!B22</f>
        <v>Sub-total</v>
      </c>
      <c r="C21" s="559">
        <f t="shared" ref="C21:J21" si="9">SUM(C15:C20)</f>
        <v>62</v>
      </c>
      <c r="D21" s="559">
        <f t="shared" si="9"/>
        <v>6.8553918700000001</v>
      </c>
      <c r="E21" s="559">
        <f t="shared" si="9"/>
        <v>0.23311199999999999</v>
      </c>
      <c r="F21" s="559">
        <f t="shared" si="9"/>
        <v>4.7080886159999995</v>
      </c>
      <c r="G21" s="559">
        <f t="shared" ref="G21" si="10">SUM(G15:G20)</f>
        <v>0</v>
      </c>
      <c r="H21" s="559">
        <f t="shared" si="9"/>
        <v>0</v>
      </c>
      <c r="I21" s="559">
        <f t="shared" si="9"/>
        <v>-0.21880843999999999</v>
      </c>
      <c r="J21" s="559">
        <f t="shared" si="9"/>
        <v>1.5001311E-2</v>
      </c>
      <c r="K21" s="559">
        <f t="shared" ref="K21" si="11">SUM(K15:K20)</f>
        <v>4.7373934869999994</v>
      </c>
      <c r="L21" s="559">
        <f t="shared" ref="L21" si="12">SUM(L15:L20)</f>
        <v>0</v>
      </c>
      <c r="M21" s="559">
        <f t="shared" ref="M21" si="13">SUM(M15:M20)</f>
        <v>4.7373934869999994</v>
      </c>
      <c r="N21" s="466">
        <f>M21*10/D21</f>
        <v>6.9104634378836742</v>
      </c>
      <c r="O21" s="1510"/>
      <c r="P21" s="1511"/>
      <c r="Q21" s="105"/>
    </row>
    <row r="22" spans="2:17">
      <c r="B22" s="248" t="s">
        <v>115</v>
      </c>
      <c r="C22" s="559">
        <f>C21+C14</f>
        <v>105</v>
      </c>
      <c r="D22" s="559">
        <f t="shared" ref="D22:F22" si="14">D21+D14</f>
        <v>81.873064960000008</v>
      </c>
      <c r="E22" s="559">
        <f t="shared" si="14"/>
        <v>4.2187799999999998</v>
      </c>
      <c r="F22" s="559">
        <f t="shared" si="14"/>
        <v>56.294430788999996</v>
      </c>
      <c r="G22" s="559">
        <f t="shared" ref="G22" si="15">G21+G14</f>
        <v>0</v>
      </c>
      <c r="H22" s="559">
        <f t="shared" ref="H22" si="16">H21+H14</f>
        <v>0</v>
      </c>
      <c r="I22" s="559">
        <f t="shared" ref="I22:K22" si="17">I21+I14</f>
        <v>-2.4663671649999999</v>
      </c>
      <c r="J22" s="559">
        <f t="shared" si="17"/>
        <v>0.124253211</v>
      </c>
      <c r="K22" s="559">
        <f t="shared" si="17"/>
        <v>58.171096834999993</v>
      </c>
      <c r="L22" s="559">
        <f t="shared" ref="L22" si="18">L21+L14</f>
        <v>0</v>
      </c>
      <c r="M22" s="559">
        <f t="shared" ref="M22" si="19">M21+M14</f>
        <v>58.171096834999993</v>
      </c>
      <c r="N22" s="466">
        <f>M22*10/D22</f>
        <v>7.1050347099403357</v>
      </c>
      <c r="O22" s="1512"/>
      <c r="P22" s="1513"/>
      <c r="Q22" s="105"/>
    </row>
    <row r="23" spans="2:17">
      <c r="B23" s="340"/>
    </row>
    <row r="24" spans="2:17">
      <c r="B24" s="244" t="s">
        <v>374</v>
      </c>
      <c r="C24" s="245"/>
      <c r="D24" s="245"/>
      <c r="E24" s="245"/>
      <c r="F24" s="245"/>
      <c r="G24" s="245"/>
      <c r="H24" s="245"/>
      <c r="I24" s="245"/>
      <c r="J24" s="245"/>
      <c r="K24" s="245"/>
      <c r="L24" s="245"/>
      <c r="M24" s="245"/>
    </row>
    <row r="25" spans="2:17">
      <c r="B25" s="246" t="s">
        <v>599</v>
      </c>
      <c r="C25" s="247"/>
      <c r="D25" s="247"/>
      <c r="E25" s="247"/>
      <c r="F25" s="247"/>
      <c r="G25" s="247"/>
      <c r="H25" s="247"/>
      <c r="I25" s="247"/>
      <c r="J25" s="247"/>
      <c r="K25" s="247"/>
      <c r="L25" s="247"/>
      <c r="M25" s="247"/>
    </row>
    <row r="26" spans="2:17">
      <c r="B26" s="18" t="s">
        <v>476</v>
      </c>
    </row>
    <row r="27" spans="2:17">
      <c r="B27" s="18" t="s">
        <v>477</v>
      </c>
    </row>
    <row r="28" spans="2:17">
      <c r="B28" s="18" t="s">
        <v>598</v>
      </c>
    </row>
    <row r="31" spans="2:17">
      <c r="B31" s="27" t="s">
        <v>146</v>
      </c>
    </row>
    <row r="32" spans="2:17">
      <c r="B32" s="27" t="s">
        <v>12</v>
      </c>
    </row>
    <row r="33" spans="2:17" ht="71.25">
      <c r="B33" s="1428" t="s">
        <v>252</v>
      </c>
      <c r="C33" s="251" t="s">
        <v>368</v>
      </c>
      <c r="D33" s="251" t="s">
        <v>369</v>
      </c>
      <c r="E33" s="251" t="s">
        <v>370</v>
      </c>
      <c r="F33" s="251" t="s">
        <v>1088</v>
      </c>
      <c r="G33" s="251" t="s">
        <v>595</v>
      </c>
      <c r="H33" s="251" t="s">
        <v>594</v>
      </c>
      <c r="I33" s="251" t="s">
        <v>1108</v>
      </c>
      <c r="J33" s="251" t="s">
        <v>840</v>
      </c>
      <c r="K33" s="251" t="s">
        <v>371</v>
      </c>
      <c r="L33" s="251" t="s">
        <v>372</v>
      </c>
      <c r="M33" s="251" t="s">
        <v>373</v>
      </c>
      <c r="N33" s="251" t="s">
        <v>589</v>
      </c>
      <c r="O33" s="251" t="s">
        <v>590</v>
      </c>
      <c r="P33" s="339" t="s">
        <v>597</v>
      </c>
      <c r="Q33" s="339" t="s">
        <v>42</v>
      </c>
    </row>
    <row r="34" spans="2:17" ht="28.5">
      <c r="B34" s="1507"/>
      <c r="C34" s="339" t="s">
        <v>72</v>
      </c>
      <c r="D34" s="339" t="s">
        <v>73</v>
      </c>
      <c r="E34" s="339" t="s">
        <v>591</v>
      </c>
      <c r="F34" s="339" t="s">
        <v>419</v>
      </c>
      <c r="G34" s="339" t="s">
        <v>420</v>
      </c>
      <c r="H34" s="339" t="s">
        <v>592</v>
      </c>
      <c r="I34" s="339" t="s">
        <v>676</v>
      </c>
      <c r="J34" s="339" t="s">
        <v>593</v>
      </c>
      <c r="K34" s="339" t="s">
        <v>1111</v>
      </c>
      <c r="L34" s="339" t="s">
        <v>1104</v>
      </c>
      <c r="M34" s="339" t="s">
        <v>1105</v>
      </c>
      <c r="N34" s="339" t="s">
        <v>1106</v>
      </c>
      <c r="O34" s="339" t="s">
        <v>596</v>
      </c>
      <c r="P34" s="339" t="s">
        <v>1107</v>
      </c>
      <c r="Q34" s="339" t="s">
        <v>711</v>
      </c>
    </row>
    <row r="35" spans="2:17">
      <c r="B35" s="551" t="str">
        <f>'F1'!B32</f>
        <v>HT Category</v>
      </c>
      <c r="C35" s="29"/>
      <c r="D35" s="29"/>
      <c r="E35" s="29"/>
      <c r="F35" s="29"/>
      <c r="G35" s="29"/>
      <c r="H35" s="29"/>
      <c r="I35" s="29"/>
      <c r="J35" s="29"/>
      <c r="K35" s="29"/>
      <c r="L35" s="29"/>
      <c r="M35" s="29"/>
      <c r="N35" s="29"/>
      <c r="O35" s="29"/>
      <c r="P35" s="29"/>
      <c r="Q35" s="29"/>
    </row>
    <row r="36" spans="2:17">
      <c r="B36" s="550" t="str">
        <f>'F1'!B33</f>
        <v>HT I</v>
      </c>
      <c r="C36" s="552">
        <f>'F13 B'!B222</f>
        <v>42</v>
      </c>
      <c r="D36" s="552">
        <f>'F1'!D33</f>
        <v>74.873302989999999</v>
      </c>
      <c r="E36" s="552">
        <f>'F13 B'!H222/10^7</f>
        <v>3.908604</v>
      </c>
      <c r="F36" s="552">
        <f>+('F13 B'!I222+'F13 B'!J222+'F13 B'!K222)/10^7</f>
        <v>46.397879634939997</v>
      </c>
      <c r="G36" s="466">
        <v>0</v>
      </c>
      <c r="H36" s="466">
        <f>'F13 B'!Q222/10^7</f>
        <v>-0.20507599100000001</v>
      </c>
      <c r="I36" s="466">
        <f>+'F13 B'!N222/10^7</f>
        <v>-2.1328572769999998</v>
      </c>
      <c r="J36" s="466">
        <f>+'F13 B'!O222/10^7</f>
        <v>5.3255100000000014E-2</v>
      </c>
      <c r="K36" s="466">
        <f t="shared" ref="K36:K37" si="20">SUM(E36:J36)</f>
        <v>48.021805466939995</v>
      </c>
      <c r="L36" s="466">
        <v>0</v>
      </c>
      <c r="M36" s="466">
        <f>K36+L36</f>
        <v>48.021805466939995</v>
      </c>
      <c r="N36" s="466">
        <f>M36*10/D36</f>
        <v>6.4137420881984788</v>
      </c>
      <c r="O36" s="29">
        <v>5.56</v>
      </c>
      <c r="P36" s="946">
        <f>+O36-N36</f>
        <v>-0.85374208819847919</v>
      </c>
      <c r="Q36" s="1514" t="s">
        <v>1112</v>
      </c>
    </row>
    <row r="37" spans="2:17">
      <c r="B37" s="550" t="str">
        <f>'F1'!B34</f>
        <v>HT II</v>
      </c>
      <c r="C37" s="552">
        <f>'F13 B'!B223</f>
        <v>0</v>
      </c>
      <c r="D37" s="552">
        <f>'F1'!D34</f>
        <v>0</v>
      </c>
      <c r="E37" s="552">
        <f>'F13 B'!H223/10^7</f>
        <v>0</v>
      </c>
      <c r="F37" s="552">
        <f>+('F13 B'!I223+'F13 B'!J223+'F13 B'!K223)/10^7</f>
        <v>0</v>
      </c>
      <c r="G37" s="466">
        <v>0</v>
      </c>
      <c r="H37" s="466">
        <f>'F13 B'!Q223/10^7</f>
        <v>0</v>
      </c>
      <c r="I37" s="466">
        <f>+'F13 B'!N223/10^7</f>
        <v>0</v>
      </c>
      <c r="J37" s="466">
        <f>+'F13 B'!O223/10^7</f>
        <v>0</v>
      </c>
      <c r="K37" s="466">
        <f t="shared" si="20"/>
        <v>0</v>
      </c>
      <c r="L37" s="466">
        <v>0</v>
      </c>
      <c r="M37" s="466">
        <f>K37+L37</f>
        <v>0</v>
      </c>
      <c r="N37" s="466"/>
      <c r="O37" s="105">
        <v>5.85</v>
      </c>
      <c r="P37" s="946"/>
      <c r="Q37" s="1515"/>
    </row>
    <row r="38" spans="2:17">
      <c r="B38" s="551" t="str">
        <f>'F1'!B35</f>
        <v>Sub-total HT</v>
      </c>
      <c r="C38" s="558">
        <f t="shared" ref="C38:D38" si="21">SUM(C36:C37)</f>
        <v>42</v>
      </c>
      <c r="D38" s="558">
        <f t="shared" si="21"/>
        <v>74.873302989999999</v>
      </c>
      <c r="E38" s="558">
        <f t="shared" ref="E38" si="22">SUM(E36:E37)</f>
        <v>3.908604</v>
      </c>
      <c r="F38" s="558">
        <f t="shared" ref="F38" si="23">SUM(F36:F37)</f>
        <v>46.397879634939997</v>
      </c>
      <c r="G38" s="558">
        <f t="shared" ref="G38" si="24">SUM(G36:G37)</f>
        <v>0</v>
      </c>
      <c r="H38" s="558">
        <f t="shared" ref="H38:J38" si="25">SUM(H36:H37)</f>
        <v>-0.20507599100000001</v>
      </c>
      <c r="I38" s="558">
        <f t="shared" si="25"/>
        <v>-2.1328572769999998</v>
      </c>
      <c r="J38" s="558">
        <f t="shared" si="25"/>
        <v>5.3255100000000014E-2</v>
      </c>
      <c r="K38" s="558">
        <f t="shared" ref="K38" si="26">SUM(K36:K37)</f>
        <v>48.021805466939995</v>
      </c>
      <c r="L38" s="468">
        <f t="shared" ref="L38" si="27">SUM(L36:L37)</f>
        <v>0</v>
      </c>
      <c r="M38" s="468">
        <f t="shared" ref="M38" si="28">SUM(M36:M37)</f>
        <v>48.021805466939995</v>
      </c>
      <c r="N38" s="466">
        <f t="shared" ref="N38:N46" si="29">M38*10/D38</f>
        <v>6.4137420881984788</v>
      </c>
      <c r="O38" s="105"/>
      <c r="P38" s="105"/>
      <c r="Q38" s="1515"/>
    </row>
    <row r="39" spans="2:17">
      <c r="B39" s="551" t="str">
        <f>'F1'!B37</f>
        <v>LT Category</v>
      </c>
      <c r="C39" s="552"/>
      <c r="D39" s="552"/>
      <c r="E39" s="552"/>
      <c r="F39" s="552"/>
      <c r="G39" s="466"/>
      <c r="H39" s="466"/>
      <c r="I39" s="466"/>
      <c r="J39" s="466"/>
      <c r="K39" s="466"/>
      <c r="L39" s="466"/>
      <c r="M39" s="466"/>
      <c r="N39" s="466"/>
      <c r="O39" s="105"/>
      <c r="P39" s="105"/>
      <c r="Q39" s="1515"/>
    </row>
    <row r="40" spans="2:17">
      <c r="B40" s="550" t="str">
        <f>'F1'!B38</f>
        <v>LT I (G-P)</v>
      </c>
      <c r="C40" s="552">
        <f>'F13 B'!B227</f>
        <v>0</v>
      </c>
      <c r="D40" s="552">
        <f>'F1'!D38</f>
        <v>0</v>
      </c>
      <c r="E40" s="552">
        <f>'F13 B'!H227/10^7</f>
        <v>0</v>
      </c>
      <c r="F40" s="552">
        <f>'F13 B'!R227/10^7</f>
        <v>0</v>
      </c>
      <c r="G40" s="466">
        <v>0</v>
      </c>
      <c r="H40" s="466">
        <f>'F13 B'!Q227/10^7</f>
        <v>0</v>
      </c>
      <c r="I40" s="466"/>
      <c r="J40" s="466"/>
      <c r="K40" s="466">
        <f t="shared" ref="K40:K43" si="30">SUM(E40:J40)</f>
        <v>0</v>
      </c>
      <c r="L40" s="466">
        <v>0</v>
      </c>
      <c r="M40" s="466">
        <f>K40+L40</f>
        <v>0</v>
      </c>
      <c r="N40" s="466"/>
      <c r="O40" s="105">
        <v>5.58</v>
      </c>
      <c r="P40" s="946"/>
      <c r="Q40" s="1515"/>
    </row>
    <row r="41" spans="2:17">
      <c r="B41" s="550" t="str">
        <f>'F1'!B39</f>
        <v>LT II (A)</v>
      </c>
      <c r="C41" s="552">
        <f>'F13 B'!B228</f>
        <v>27</v>
      </c>
      <c r="D41" s="552">
        <f>'F1'!D39</f>
        <v>0.31616228000000002</v>
      </c>
      <c r="E41" s="552">
        <f>'F13 B'!H228/10^7</f>
        <v>4.0660000000000002E-3</v>
      </c>
      <c r="F41" s="552">
        <f>+('F13 B'!I228+'F13 B'!J228+'F13 B'!K228)/10^7</f>
        <v>0.19152340168000004</v>
      </c>
      <c r="G41" s="466">
        <v>0</v>
      </c>
      <c r="H41" s="466">
        <f>'F13 B'!Q228/10^7</f>
        <v>-8.3632800000000011E-4</v>
      </c>
      <c r="I41" s="466">
        <f>+'F13 B'!N228/10^7</f>
        <v>0</v>
      </c>
      <c r="J41" s="466">
        <f>+'F13 B'!O228/10^7</f>
        <v>0</v>
      </c>
      <c r="K41" s="466">
        <f t="shared" si="30"/>
        <v>0.19475307368000006</v>
      </c>
      <c r="L41" s="466">
        <v>0</v>
      </c>
      <c r="M41" s="466">
        <f t="shared" ref="M41:M44" si="31">K41+L41</f>
        <v>0.19475307368000006</v>
      </c>
      <c r="N41" s="466">
        <f t="shared" si="29"/>
        <v>6.1599085659427821</v>
      </c>
      <c r="O41" s="105">
        <v>5.58</v>
      </c>
      <c r="P41" s="946">
        <f t="shared" ref="P41:P44" si="32">+O41-N41</f>
        <v>-0.57990856594278206</v>
      </c>
      <c r="Q41" s="1515"/>
    </row>
    <row r="42" spans="2:17">
      <c r="B42" s="550" t="str">
        <f>'F1'!B40</f>
        <v>LT II (B)</v>
      </c>
      <c r="C42" s="552">
        <f>'F13 B'!B229</f>
        <v>8</v>
      </c>
      <c r="D42" s="552">
        <f>'F1'!D40</f>
        <v>0.46311320000000006</v>
      </c>
      <c r="E42" s="552">
        <f>'F13 B'!H229/10^7</f>
        <v>3.2224000000000003E-2</v>
      </c>
      <c r="F42" s="552">
        <f>+('F13 B'!I229+'F13 B'!J229+'F13 B'!K229)/10^7</f>
        <v>0.31323043740000001</v>
      </c>
      <c r="G42" s="466">
        <v>0</v>
      </c>
      <c r="H42" s="466">
        <f>'F13 B'!Q229/10^7</f>
        <v>-1.5838E-3</v>
      </c>
      <c r="I42" s="466">
        <f>+'F13 B'!N229/10^7</f>
        <v>-2.6761430000000002E-3</v>
      </c>
      <c r="J42" s="466">
        <f>+'F13 B'!O229/10^7</f>
        <v>8.8247399999999993E-3</v>
      </c>
      <c r="K42" s="466">
        <f t="shared" si="30"/>
        <v>0.35001923439999999</v>
      </c>
      <c r="L42" s="466">
        <v>0</v>
      </c>
      <c r="M42" s="466">
        <f t="shared" si="31"/>
        <v>0.35001923439999999</v>
      </c>
      <c r="N42" s="466">
        <f t="shared" si="29"/>
        <v>7.5579628134114927</v>
      </c>
      <c r="O42" s="105">
        <v>7.24</v>
      </c>
      <c r="P42" s="946">
        <f t="shared" si="32"/>
        <v>-0.31796281341149246</v>
      </c>
      <c r="Q42" s="1515"/>
    </row>
    <row r="43" spans="2:17">
      <c r="B43" s="550" t="str">
        <f>'F1'!B41</f>
        <v>LT III (A)</v>
      </c>
      <c r="C43" s="552">
        <f>'F13 B'!B230</f>
        <v>1</v>
      </c>
      <c r="D43" s="552">
        <f>'F1'!D41</f>
        <v>0.18799069999999998</v>
      </c>
      <c r="E43" s="552">
        <f>'F13 B'!H230/10^7</f>
        <v>2.052E-3</v>
      </c>
      <c r="F43" s="552">
        <f>+('F13 B'!I230+'F13 B'!J230+'F13 B'!K230)/10^7</f>
        <v>9.5257827199999992E-2</v>
      </c>
      <c r="G43" s="466">
        <v>0</v>
      </c>
      <c r="H43" s="466">
        <f>'F13 B'!Q230/10^7</f>
        <v>-1.1468000000000001E-5</v>
      </c>
      <c r="I43" s="466">
        <f>+'F13 B'!N230/10^7</f>
        <v>0</v>
      </c>
      <c r="J43" s="466">
        <f>+'F13 B'!O230/10^7</f>
        <v>0</v>
      </c>
      <c r="K43" s="466">
        <f t="shared" si="30"/>
        <v>9.729835919999999E-2</v>
      </c>
      <c r="L43" s="466">
        <v>0</v>
      </c>
      <c r="M43" s="466">
        <f t="shared" si="31"/>
        <v>9.729835919999999E-2</v>
      </c>
      <c r="N43" s="466">
        <f t="shared" si="29"/>
        <v>5.1757006702991157</v>
      </c>
      <c r="O43" s="105">
        <v>5.28</v>
      </c>
      <c r="P43" s="946">
        <f t="shared" si="32"/>
        <v>0.10429932970088451</v>
      </c>
      <c r="Q43" s="1515"/>
    </row>
    <row r="44" spans="2:17">
      <c r="B44" s="550" t="str">
        <f>'F1'!B42</f>
        <v>LT III (B)</v>
      </c>
      <c r="C44" s="552">
        <f>'F13 B'!B231</f>
        <v>28</v>
      </c>
      <c r="D44" s="552">
        <f>'F1'!D42</f>
        <v>7.0426495700000009</v>
      </c>
      <c r="E44" s="552">
        <f>'F13 B'!H231/10^7</f>
        <v>0.21942</v>
      </c>
      <c r="F44" s="552">
        <f>+('F13 B'!I231+'F13 B'!J231+'F13 B'!K231)/10^7</f>
        <v>4.3498935114200004</v>
      </c>
      <c r="G44" s="559">
        <f>SUM(G39:G43)</f>
        <v>0</v>
      </c>
      <c r="H44" s="466">
        <f>'F13 B'!Q231/10^7</f>
        <v>-2.0829903999999996E-2</v>
      </c>
      <c r="I44" s="466">
        <f>+'F13 B'!N231/10^7</f>
        <v>-0.26096713300000002</v>
      </c>
      <c r="J44" s="466">
        <f>+'F13 B'!O231/10^7</f>
        <v>9.5543999999999994E-3</v>
      </c>
      <c r="K44" s="466">
        <f>SUM(E44:J44)</f>
        <v>4.2970708744200001</v>
      </c>
      <c r="L44" s="559">
        <f>SUM(L39:L43)</f>
        <v>0</v>
      </c>
      <c r="M44" s="466">
        <f t="shared" si="31"/>
        <v>4.2970708744200001</v>
      </c>
      <c r="N44" s="466">
        <f t="shared" si="29"/>
        <v>6.1014974999245917</v>
      </c>
      <c r="O44" s="105">
        <v>5.59</v>
      </c>
      <c r="P44" s="946">
        <f t="shared" si="32"/>
        <v>-0.51149749992459181</v>
      </c>
      <c r="Q44" s="1516"/>
    </row>
    <row r="45" spans="2:17">
      <c r="B45" s="551" t="str">
        <f>'F1'!B43</f>
        <v>Sub-total LT</v>
      </c>
      <c r="C45" s="558">
        <f>SUM(C40:C44)</f>
        <v>64</v>
      </c>
      <c r="D45" s="558">
        <f>SUM(D40:D44)</f>
        <v>8.0099157500000011</v>
      </c>
      <c r="E45" s="558">
        <f>SUM(E40:E44)</f>
        <v>0.25776199999999999</v>
      </c>
      <c r="F45" s="558">
        <f>SUM(F40:F44)</f>
        <v>4.9499051777000007</v>
      </c>
      <c r="G45" s="558">
        <f>SUM(G40:G44)</f>
        <v>0</v>
      </c>
      <c r="H45" s="558">
        <f>SUM(H40:H44)</f>
        <v>-2.3261499999999997E-2</v>
      </c>
      <c r="I45" s="558">
        <f t="shared" ref="I45:J45" si="33">SUM(I40:I44)</f>
        <v>-0.26364327600000004</v>
      </c>
      <c r="J45" s="558">
        <f t="shared" si="33"/>
        <v>1.8379139999999999E-2</v>
      </c>
      <c r="K45" s="558">
        <f t="shared" ref="K45:M45" si="34">SUM(K40:K44)</f>
        <v>4.9391415416999997</v>
      </c>
      <c r="L45" s="559"/>
      <c r="M45" s="558">
        <f t="shared" si="34"/>
        <v>4.9391415416999997</v>
      </c>
      <c r="N45" s="466">
        <f t="shared" si="29"/>
        <v>6.1662840107900001</v>
      </c>
      <c r="O45" s="105"/>
      <c r="P45" s="105"/>
      <c r="Q45" s="105"/>
    </row>
    <row r="46" spans="2:17">
      <c r="B46" s="248" t="s">
        <v>115</v>
      </c>
      <c r="C46" s="559">
        <f>C45+C38</f>
        <v>106</v>
      </c>
      <c r="D46" s="559">
        <f t="shared" ref="D46:H46" si="35">D45+D38</f>
        <v>82.883218740000004</v>
      </c>
      <c r="E46" s="559">
        <f t="shared" si="35"/>
        <v>4.166366</v>
      </c>
      <c r="F46" s="559">
        <f t="shared" si="35"/>
        <v>51.34778481264</v>
      </c>
      <c r="G46" s="559">
        <f t="shared" si="35"/>
        <v>0</v>
      </c>
      <c r="H46" s="559">
        <f t="shared" si="35"/>
        <v>-0.228337491</v>
      </c>
      <c r="I46" s="559">
        <f t="shared" ref="I46:J46" si="36">I45+I38</f>
        <v>-2.3965005530000001</v>
      </c>
      <c r="J46" s="559">
        <f t="shared" si="36"/>
        <v>7.1634240000000016E-2</v>
      </c>
      <c r="K46" s="559">
        <f>K45+K38</f>
        <v>52.960947008639991</v>
      </c>
      <c r="L46" s="559">
        <f>L44+L38</f>
        <v>0</v>
      </c>
      <c r="M46" s="559">
        <f>M45+M38</f>
        <v>52.960947008639991</v>
      </c>
      <c r="N46" s="466">
        <f t="shared" si="29"/>
        <v>6.3898274962963866</v>
      </c>
      <c r="O46" s="105"/>
      <c r="P46" s="105"/>
      <c r="Q46" s="105"/>
    </row>
    <row r="47" spans="2:17">
      <c r="B47" s="244" t="s">
        <v>374</v>
      </c>
      <c r="C47" s="245"/>
      <c r="D47" s="245"/>
      <c r="E47" s="245"/>
      <c r="F47" s="245"/>
      <c r="G47" s="245"/>
      <c r="H47" s="245"/>
      <c r="I47" s="245"/>
      <c r="J47" s="245"/>
      <c r="K47" s="245"/>
      <c r="L47" s="245"/>
      <c r="M47" s="245"/>
    </row>
    <row r="48" spans="2:17">
      <c r="B48" s="246" t="s">
        <v>475</v>
      </c>
      <c r="C48" s="247"/>
      <c r="D48" s="247"/>
      <c r="E48" s="247"/>
      <c r="F48" s="247"/>
      <c r="G48" s="247"/>
      <c r="H48" s="247"/>
      <c r="I48" s="247"/>
      <c r="J48" s="247"/>
      <c r="K48" s="247"/>
      <c r="L48" s="247"/>
      <c r="M48" s="247"/>
    </row>
    <row r="49" spans="2:13">
      <c r="B49" s="18" t="s">
        <v>476</v>
      </c>
    </row>
    <row r="50" spans="2:13">
      <c r="B50" s="18" t="s">
        <v>477</v>
      </c>
    </row>
    <row r="51" spans="2:13">
      <c r="B51" s="18" t="s">
        <v>598</v>
      </c>
    </row>
    <row r="53" spans="2:13">
      <c r="M53" s="18">
        <v>57.32</v>
      </c>
    </row>
    <row r="54" spans="2:13">
      <c r="M54" s="1023">
        <f>+M53-M46</f>
        <v>4.3590529913600093</v>
      </c>
    </row>
    <row r="63" spans="2:13">
      <c r="B63" s="27"/>
    </row>
  </sheetData>
  <mergeCells count="4">
    <mergeCell ref="B33:B34"/>
    <mergeCell ref="B8:B9"/>
    <mergeCell ref="O12:P22"/>
    <mergeCell ref="Q36:Q44"/>
  </mergeCells>
  <pageMargins left="0.39370078740157483" right="0.47244094488188981" top="0.70866141732283472" bottom="1.8897637795275593" header="0.51181102362204722" footer="0.51181102362204722"/>
  <pageSetup paperSize="9" scale="44" orientation="landscape" r:id="rId1"/>
  <headerFooter alignWithMargins="0"/>
  <rowBreaks count="1" manualBreakCount="1">
    <brk id="29" min="1" max="14"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C000"/>
    <pageSetUpPr fitToPage="1"/>
  </sheetPr>
  <dimension ref="B2:AA26"/>
  <sheetViews>
    <sheetView showGridLines="0" zoomScale="91" zoomScaleNormal="91" zoomScaleSheetLayoutView="70" workbookViewId="0">
      <pane ySplit="11" topLeftCell="A19" activePane="bottomLeft" state="frozen"/>
      <selection activeCell="C11" sqref="C11:C12"/>
      <selection pane="bottomLeft" activeCell="C11" sqref="C11:C12"/>
    </sheetView>
  </sheetViews>
  <sheetFormatPr defaultColWidth="8.85546875" defaultRowHeight="15"/>
  <cols>
    <col min="1" max="1" width="8.85546875" style="1"/>
    <col min="2" max="2" width="37.85546875" style="1" customWidth="1"/>
    <col min="3" max="3" width="14" style="1" customWidth="1"/>
    <col min="4" max="4" width="15.85546875" style="1" customWidth="1"/>
    <col min="5" max="5" width="15.5703125" style="1" customWidth="1"/>
    <col min="6" max="9" width="13.140625" style="1" customWidth="1"/>
    <col min="10" max="10" width="14.42578125" style="1" customWidth="1"/>
    <col min="11" max="27" width="13.140625" style="1" customWidth="1"/>
    <col min="28" max="28" width="12.42578125" style="1" customWidth="1"/>
    <col min="29" max="16384" width="8.85546875" style="1"/>
  </cols>
  <sheetData>
    <row r="2" spans="2:27">
      <c r="C2" s="183"/>
      <c r="D2" s="183"/>
      <c r="E2" s="183"/>
      <c r="F2" s="375"/>
      <c r="G2" s="183"/>
      <c r="H2" s="183"/>
      <c r="J2" s="375" t="s">
        <v>906</v>
      </c>
      <c r="K2" s="183"/>
      <c r="L2" s="375"/>
      <c r="M2" s="183"/>
      <c r="N2" s="183"/>
      <c r="O2" s="183"/>
      <c r="P2" s="375"/>
      <c r="Q2" s="183"/>
    </row>
    <row r="3" spans="2:27">
      <c r="C3" s="189"/>
      <c r="D3" s="189"/>
      <c r="E3" s="189"/>
      <c r="F3" s="189"/>
      <c r="G3" s="189"/>
      <c r="H3" s="189"/>
      <c r="J3" s="373" t="s">
        <v>722</v>
      </c>
      <c r="K3" s="189"/>
      <c r="L3" s="189"/>
      <c r="M3" s="189"/>
      <c r="N3" s="189"/>
      <c r="O3" s="189"/>
      <c r="P3" s="189"/>
      <c r="Q3" s="189"/>
    </row>
    <row r="4" spans="2:27">
      <c r="C4" s="189"/>
      <c r="D4" s="189"/>
      <c r="E4" s="189"/>
      <c r="F4" s="189"/>
      <c r="G4" s="189"/>
      <c r="H4" s="189"/>
      <c r="J4" s="189" t="s">
        <v>1320</v>
      </c>
      <c r="K4" s="189"/>
      <c r="L4" s="189"/>
      <c r="M4" s="189"/>
      <c r="N4" s="189"/>
      <c r="O4" s="189"/>
      <c r="P4" s="189"/>
      <c r="Q4" s="189"/>
    </row>
    <row r="5" spans="2:27">
      <c r="B5" s="189"/>
      <c r="C5" s="189"/>
      <c r="D5" s="189"/>
      <c r="E5" s="189"/>
      <c r="F5" s="189"/>
      <c r="G5" s="189"/>
      <c r="H5" s="189"/>
      <c r="I5" s="189"/>
      <c r="J5" s="189"/>
      <c r="K5" s="189"/>
      <c r="L5" s="189"/>
      <c r="M5" s="189"/>
      <c r="N5" s="189"/>
      <c r="O5" s="189"/>
      <c r="P5" s="189"/>
      <c r="Q5" s="189"/>
    </row>
    <row r="6" spans="2:27">
      <c r="B6" s="189"/>
      <c r="C6" s="189"/>
      <c r="D6" s="189"/>
      <c r="E6" s="189"/>
      <c r="F6" s="189"/>
      <c r="G6" s="189"/>
      <c r="H6" s="189"/>
      <c r="I6" s="189"/>
      <c r="J6" s="189"/>
      <c r="K6" s="189"/>
      <c r="L6" s="189"/>
      <c r="M6" s="189"/>
      <c r="N6" s="189"/>
      <c r="O6" s="189"/>
      <c r="P6" s="189"/>
      <c r="Q6" s="189"/>
    </row>
    <row r="7" spans="2:27">
      <c r="B7" s="252" t="s">
        <v>388</v>
      </c>
      <c r="C7" s="253"/>
      <c r="D7" s="253"/>
      <c r="E7" s="253"/>
      <c r="F7" s="253"/>
      <c r="G7" s="253"/>
      <c r="H7" s="253"/>
      <c r="I7" s="253"/>
      <c r="J7" s="253"/>
      <c r="K7" s="253"/>
      <c r="L7" s="253"/>
      <c r="M7" s="253"/>
      <c r="N7" s="253"/>
      <c r="O7" s="253"/>
      <c r="P7" s="253"/>
      <c r="Q7" s="253"/>
      <c r="R7" s="253"/>
      <c r="S7" s="253"/>
      <c r="T7" s="253"/>
      <c r="U7" s="253"/>
      <c r="V7" s="253"/>
      <c r="W7" s="253"/>
      <c r="X7" s="253"/>
      <c r="Y7" s="253"/>
    </row>
    <row r="8" spans="2:27">
      <c r="B8" s="252" t="s">
        <v>688</v>
      </c>
      <c r="C8" s="253"/>
      <c r="D8" s="253"/>
      <c r="E8" s="253"/>
      <c r="F8" s="253"/>
      <c r="G8" s="253"/>
      <c r="H8" s="253"/>
      <c r="I8" s="253"/>
      <c r="J8" s="253"/>
      <c r="K8" s="253"/>
      <c r="L8" s="253"/>
      <c r="M8" s="253"/>
      <c r="N8" s="253"/>
      <c r="O8" s="253"/>
      <c r="P8" s="253"/>
      <c r="Q8" s="253"/>
      <c r="R8" s="253"/>
      <c r="S8" s="253"/>
      <c r="T8" s="253"/>
      <c r="U8" s="253"/>
      <c r="V8" s="253"/>
      <c r="W8" s="253"/>
      <c r="X8" s="253"/>
      <c r="Y8" s="253"/>
    </row>
    <row r="9" spans="2:27">
      <c r="B9" s="253"/>
      <c r="C9" s="253"/>
      <c r="D9" s="253"/>
      <c r="E9" s="253"/>
      <c r="F9" s="253"/>
      <c r="G9" s="253"/>
      <c r="H9" s="253"/>
      <c r="I9" s="253"/>
      <c r="J9" s="253"/>
      <c r="K9" s="253"/>
      <c r="L9" s="253"/>
      <c r="M9" s="253"/>
      <c r="N9" s="253"/>
      <c r="O9" s="253"/>
      <c r="P9" s="253"/>
      <c r="Q9" s="253"/>
      <c r="R9" s="253"/>
      <c r="S9" s="253"/>
      <c r="T9" s="253"/>
      <c r="U9" s="253"/>
      <c r="V9" s="253"/>
      <c r="W9" s="253"/>
      <c r="X9" s="253"/>
      <c r="Y9" s="253"/>
    </row>
    <row r="10" spans="2:27" ht="13.9" customHeight="1">
      <c r="B10" s="1518" t="s">
        <v>1316</v>
      </c>
      <c r="C10" s="1517" t="s">
        <v>368</v>
      </c>
      <c r="D10" s="1519" t="s">
        <v>376</v>
      </c>
      <c r="E10" s="1519"/>
      <c r="F10" s="1519"/>
      <c r="G10" s="1519"/>
      <c r="H10" s="1519"/>
      <c r="I10" s="1519"/>
      <c r="J10" s="1517" t="s">
        <v>377</v>
      </c>
      <c r="K10" s="1517"/>
      <c r="L10" s="1517"/>
      <c r="M10" s="1517"/>
      <c r="N10" s="1520" t="s">
        <v>378</v>
      </c>
      <c r="O10" s="1520"/>
      <c r="P10" s="1520"/>
      <c r="Q10" s="1520"/>
      <c r="R10" s="1520"/>
      <c r="S10" s="1520"/>
      <c r="T10" s="1520"/>
      <c r="U10" s="1520"/>
      <c r="V10" s="1520"/>
      <c r="W10" s="1520"/>
      <c r="X10" s="1517" t="s">
        <v>372</v>
      </c>
      <c r="Y10" s="1517" t="s">
        <v>379</v>
      </c>
      <c r="Z10" s="1517" t="s">
        <v>380</v>
      </c>
      <c r="AA10" s="1517" t="s">
        <v>479</v>
      </c>
    </row>
    <row r="11" spans="2:27" ht="57">
      <c r="B11" s="1518"/>
      <c r="C11" s="1517"/>
      <c r="D11" s="320" t="s">
        <v>1092</v>
      </c>
      <c r="E11" s="320" t="s">
        <v>1089</v>
      </c>
      <c r="F11" s="911" t="s">
        <v>1091</v>
      </c>
      <c r="G11" s="320" t="s">
        <v>1090</v>
      </c>
      <c r="H11" s="320" t="s">
        <v>603</v>
      </c>
      <c r="I11" s="320" t="s">
        <v>381</v>
      </c>
      <c r="J11" s="320" t="s">
        <v>478</v>
      </c>
      <c r="K11" s="320" t="s">
        <v>1318</v>
      </c>
      <c r="L11" s="1220" t="s">
        <v>1317</v>
      </c>
      <c r="M11" s="320" t="s">
        <v>369</v>
      </c>
      <c r="N11" s="320" t="s">
        <v>383</v>
      </c>
      <c r="O11" s="320" t="s">
        <v>384</v>
      </c>
      <c r="P11" s="911" t="s">
        <v>1093</v>
      </c>
      <c r="Q11" s="320" t="s">
        <v>385</v>
      </c>
      <c r="R11" s="320" t="s">
        <v>604</v>
      </c>
      <c r="S11" s="320" t="s">
        <v>386</v>
      </c>
      <c r="T11" s="1219" t="s">
        <v>1319</v>
      </c>
      <c r="U11" s="339" t="s">
        <v>1108</v>
      </c>
      <c r="V11" s="339" t="s">
        <v>840</v>
      </c>
      <c r="W11" s="319" t="s">
        <v>115</v>
      </c>
      <c r="X11" s="1517"/>
      <c r="Y11" s="1517"/>
      <c r="Z11" s="1517"/>
      <c r="AA11" s="1517"/>
    </row>
    <row r="12" spans="2:27">
      <c r="B12" s="194" t="str">
        <f>'F1'!B32</f>
        <v>HT Category</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row>
    <row r="13" spans="2:27">
      <c r="B13" s="129" t="str">
        <f>'F1'!B33</f>
        <v>HT I</v>
      </c>
      <c r="C13" s="564">
        <v>46</v>
      </c>
      <c r="D13" s="564">
        <v>0</v>
      </c>
      <c r="E13" s="935">
        <v>190</v>
      </c>
      <c r="F13" s="564">
        <v>0.95</v>
      </c>
      <c r="G13" s="564">
        <v>4.21</v>
      </c>
      <c r="H13" s="564">
        <v>0</v>
      </c>
      <c r="I13" s="564">
        <f>'F13 B'!L80/10^7</f>
        <v>2.1595795964127243E-3</v>
      </c>
      <c r="J13" s="935">
        <v>33002</v>
      </c>
      <c r="K13" s="935">
        <v>25021</v>
      </c>
      <c r="L13" s="935">
        <v>17516</v>
      </c>
      <c r="M13" s="564">
        <v>75.265755159999998</v>
      </c>
      <c r="N13" s="583">
        <v>0</v>
      </c>
      <c r="O13" s="698">
        <f>39939850/10^7</f>
        <v>3.9939849999999999</v>
      </c>
      <c r="P13" s="1273">
        <f>71502467.435/(10^7)</f>
        <v>7.1502467435000003</v>
      </c>
      <c r="Q13" s="1273">
        <f>316911000.117/(10^7)</f>
        <v>31.691100011699998</v>
      </c>
      <c r="R13" s="560">
        <v>0</v>
      </c>
      <c r="S13" s="1273">
        <f>-928950.179999996/(10^7)</f>
        <v>-9.2895017999999649E-2</v>
      </c>
      <c r="T13" s="1273">
        <f>-6057420.65/(10^7)</f>
        <v>-0.60574206499999994</v>
      </c>
      <c r="U13" s="1273">
        <f>-18077901.31/(10^7)</f>
        <v>-1.807790131</v>
      </c>
      <c r="V13" s="1273">
        <f>458126.1/(10^7)</f>
        <v>4.5812609999999997E-2</v>
      </c>
      <c r="W13" s="643">
        <f>+SUM(N13:V13)</f>
        <v>40.374717151200002</v>
      </c>
      <c r="X13" s="560">
        <v>0</v>
      </c>
      <c r="Y13" s="643">
        <f>+W13+X13</f>
        <v>40.374717151200002</v>
      </c>
      <c r="Z13" s="560">
        <f>+IF(M13=0,0,Y13/M13*10)</f>
        <v>5.3642877913562952</v>
      </c>
      <c r="AA13" s="1274">
        <f>+Z13/$Z$22</f>
        <v>1.0000087858093556</v>
      </c>
    </row>
    <row r="14" spans="2:27">
      <c r="B14" s="129" t="str">
        <f>'F1'!B34</f>
        <v>HT II</v>
      </c>
      <c r="C14" s="564">
        <f>'F13 B'!B81</f>
        <v>0</v>
      </c>
      <c r="D14" s="564">
        <v>0</v>
      </c>
      <c r="E14" s="564">
        <f>'F13 B'!H81/10^7</f>
        <v>0</v>
      </c>
      <c r="F14" s="564"/>
      <c r="G14" s="564">
        <f>'F13 B'!R81/10^7</f>
        <v>0</v>
      </c>
      <c r="H14" s="564">
        <v>0</v>
      </c>
      <c r="I14" s="564">
        <f>'F13 B'!L81/10^7</f>
        <v>0</v>
      </c>
      <c r="J14" s="935"/>
      <c r="K14" s="935">
        <f>'F13 B'!F81</f>
        <v>0</v>
      </c>
      <c r="L14" s="935"/>
      <c r="M14" s="564">
        <f>'F1'!I34</f>
        <v>0</v>
      </c>
      <c r="N14" s="698">
        <v>0</v>
      </c>
      <c r="O14" s="560">
        <v>0</v>
      </c>
      <c r="P14" s="1273">
        <f>0/(10^7)</f>
        <v>0</v>
      </c>
      <c r="Q14" s="1273">
        <f>0/(10^7)</f>
        <v>0</v>
      </c>
      <c r="R14" s="560">
        <v>0</v>
      </c>
      <c r="S14" s="1273">
        <f>0/(10^7)</f>
        <v>0</v>
      </c>
      <c r="T14" s="1273">
        <f>0/(10^7)</f>
        <v>0</v>
      </c>
      <c r="U14" s="1273">
        <f>0/(10^7)</f>
        <v>0</v>
      </c>
      <c r="V14" s="1273">
        <f>0/(10^7)</f>
        <v>0</v>
      </c>
      <c r="W14" s="643">
        <f>+SUM(N14:V14)</f>
        <v>0</v>
      </c>
      <c r="X14" s="560">
        <v>0</v>
      </c>
      <c r="Y14" s="643">
        <f>+W14+X14</f>
        <v>0</v>
      </c>
      <c r="Z14" s="560">
        <f>+IF(M14=0,0,Y14/M14*10)</f>
        <v>0</v>
      </c>
      <c r="AA14" s="1274">
        <f>+Z14/$Z$22</f>
        <v>0</v>
      </c>
    </row>
    <row r="15" spans="2:27">
      <c r="B15" s="194"/>
      <c r="C15" s="564"/>
      <c r="D15" s="564"/>
      <c r="E15" s="564"/>
      <c r="F15" s="564"/>
      <c r="G15" s="564"/>
      <c r="H15" s="564"/>
      <c r="I15" s="564"/>
      <c r="J15" s="935"/>
      <c r="K15" s="935"/>
      <c r="L15" s="935"/>
      <c r="M15" s="564"/>
      <c r="N15" s="560"/>
      <c r="O15" s="560"/>
      <c r="P15" s="1273"/>
      <c r="Q15" s="1273"/>
      <c r="R15" s="105"/>
      <c r="S15" s="1273"/>
      <c r="T15" s="1273"/>
      <c r="U15" s="1273"/>
      <c r="V15" s="1273"/>
      <c r="W15" s="105"/>
      <c r="X15" s="105"/>
      <c r="Y15" s="105"/>
      <c r="Z15" s="560"/>
      <c r="AA15" s="105"/>
    </row>
    <row r="16" spans="2:27">
      <c r="B16" s="194" t="str">
        <f>'F1'!B37</f>
        <v>LT Category</v>
      </c>
      <c r="C16" s="564"/>
      <c r="D16" s="564"/>
      <c r="E16" s="564"/>
      <c r="F16" s="564"/>
      <c r="G16" s="564"/>
      <c r="H16" s="564"/>
      <c r="I16" s="564"/>
      <c r="J16" s="935"/>
      <c r="K16" s="935"/>
      <c r="L16" s="935"/>
      <c r="M16" s="564"/>
      <c r="N16" s="560"/>
      <c r="O16" s="560"/>
      <c r="P16" s="1273"/>
      <c r="Q16" s="1273"/>
      <c r="R16" s="105"/>
      <c r="S16" s="1273"/>
      <c r="T16" s="1273"/>
      <c r="U16" s="1273"/>
      <c r="V16" s="1273"/>
      <c r="W16" s="105"/>
      <c r="X16" s="105"/>
      <c r="Y16" s="105"/>
      <c r="Z16" s="560"/>
      <c r="AA16" s="105"/>
    </row>
    <row r="17" spans="2:27">
      <c r="B17" s="129" t="str">
        <f>'F1'!B38</f>
        <v>LT I (G-P)</v>
      </c>
      <c r="C17" s="564">
        <v>0</v>
      </c>
      <c r="D17" s="564">
        <v>0</v>
      </c>
      <c r="E17" s="564">
        <f>'F13 B'!H82/10^7</f>
        <v>0</v>
      </c>
      <c r="F17" s="564"/>
      <c r="G17" s="564">
        <f>'F13 B'!R82/10^7</f>
        <v>0</v>
      </c>
      <c r="H17" s="564">
        <v>0</v>
      </c>
      <c r="I17" s="564">
        <f>'F13 B'!R82/10^7</f>
        <v>0</v>
      </c>
      <c r="J17" s="935">
        <v>0</v>
      </c>
      <c r="K17" s="935">
        <f>'F13 B'!F82</f>
        <v>0</v>
      </c>
      <c r="L17" s="935">
        <v>0</v>
      </c>
      <c r="M17" s="564">
        <f>'F1'!I38</f>
        <v>0</v>
      </c>
      <c r="N17" s="560">
        <v>0</v>
      </c>
      <c r="O17" s="560">
        <v>0</v>
      </c>
      <c r="P17" s="1273">
        <f>0/(10^7)</f>
        <v>0</v>
      </c>
      <c r="Q17" s="560">
        <v>0</v>
      </c>
      <c r="R17" s="560">
        <v>0</v>
      </c>
      <c r="S17" s="1273">
        <f>0/(10^7)</f>
        <v>0</v>
      </c>
      <c r="T17" s="1273">
        <f>0/(10^7)</f>
        <v>0</v>
      </c>
      <c r="U17" s="1273">
        <f>0/(10^7)</f>
        <v>0</v>
      </c>
      <c r="V17" s="1273">
        <f>0/(10^7)</f>
        <v>0</v>
      </c>
      <c r="W17" s="643">
        <f>+SUM(N17:V17)</f>
        <v>0</v>
      </c>
      <c r="X17" s="560">
        <v>0</v>
      </c>
      <c r="Y17" s="643">
        <f>+W17+X17</f>
        <v>0</v>
      </c>
      <c r="Z17" s="560">
        <f t="shared" ref="Z17:Z21" si="0">+IF(M17=0,0,Y17/M17*10)</f>
        <v>0</v>
      </c>
      <c r="AA17" s="1274">
        <f t="shared" ref="AA17:AA22" si="1">+Z17/$Z$22</f>
        <v>0</v>
      </c>
    </row>
    <row r="18" spans="2:27">
      <c r="B18" s="129" t="str">
        <f>'F1'!B39</f>
        <v>LT II (A)</v>
      </c>
      <c r="C18" s="564">
        <v>32</v>
      </c>
      <c r="D18" s="564">
        <v>190</v>
      </c>
      <c r="E18" s="564"/>
      <c r="F18" s="564">
        <v>0.95</v>
      </c>
      <c r="G18" s="564">
        <v>4.45</v>
      </c>
      <c r="H18" s="564">
        <v>0</v>
      </c>
      <c r="I18" s="564">
        <f>'F13 B'!R83/10^7</f>
        <v>0.29789863790219429</v>
      </c>
      <c r="J18" s="1272">
        <v>0</v>
      </c>
      <c r="K18" s="935">
        <f>'F13 B'!F83</f>
        <v>0</v>
      </c>
      <c r="L18" s="935">
        <v>0</v>
      </c>
      <c r="M18" s="564">
        <v>0.63176849999999996</v>
      </c>
      <c r="N18" s="1273">
        <f>72200/(10^7)</f>
        <v>7.2199999999999999E-3</v>
      </c>
      <c r="O18" s="560">
        <v>0</v>
      </c>
      <c r="P18" s="1273">
        <f>600180.3995/(10^7)</f>
        <v>6.0018039949999984E-2</v>
      </c>
      <c r="Q18" s="1273">
        <f>2811370.5535/(10^7)</f>
        <v>0.28113705535000005</v>
      </c>
      <c r="R18" s="560">
        <v>0</v>
      </c>
      <c r="S18" s="1273">
        <f>-5719.11870000001/(10^7)</f>
        <v>-5.7191187000000133E-4</v>
      </c>
      <c r="T18" s="1273">
        <f>0/(10^7)</f>
        <v>0</v>
      </c>
      <c r="U18" s="1273">
        <f>0/(10^7)</f>
        <v>0</v>
      </c>
      <c r="V18" s="1273">
        <f>0/(10^7)</f>
        <v>0</v>
      </c>
      <c r="W18" s="643">
        <f>+SUM(N18:V18)</f>
        <v>0.34780318343000005</v>
      </c>
      <c r="X18" s="560">
        <v>0</v>
      </c>
      <c r="Y18" s="643">
        <f t="shared" ref="Y18:Y20" si="2">+W18+X18</f>
        <v>0.34780318343000005</v>
      </c>
      <c r="Z18" s="560">
        <f t="shared" si="0"/>
        <v>5.5052314800437196</v>
      </c>
      <c r="AA18" s="1274">
        <f t="shared" si="1"/>
        <v>1.0262834624251245</v>
      </c>
    </row>
    <row r="19" spans="2:27">
      <c r="B19" s="129" t="str">
        <f>'F1'!B40</f>
        <v>LT II (B)</v>
      </c>
      <c r="C19" s="564">
        <v>8</v>
      </c>
      <c r="D19" s="564">
        <v>0</v>
      </c>
      <c r="E19" s="564">
        <v>190</v>
      </c>
      <c r="F19" s="564">
        <f>+F18</f>
        <v>0.95</v>
      </c>
      <c r="G19" s="564">
        <v>4.45</v>
      </c>
      <c r="H19" s="564">
        <v>0</v>
      </c>
      <c r="I19" s="564">
        <v>0</v>
      </c>
      <c r="J19" s="1272">
        <v>241</v>
      </c>
      <c r="K19" s="935">
        <v>266</v>
      </c>
      <c r="L19" s="935">
        <v>124</v>
      </c>
      <c r="M19" s="564">
        <v>0.37478399999999995</v>
      </c>
      <c r="N19" s="583">
        <v>0</v>
      </c>
      <c r="O19" s="1273">
        <f>283100/(10^7)</f>
        <v>2.8309999999999998E-2</v>
      </c>
      <c r="P19" s="1273">
        <f>356044.8485/(10^7)</f>
        <v>3.560448485E-2</v>
      </c>
      <c r="Q19" s="1273">
        <f>1667788.89/(10^7)</f>
        <v>0.16677888900000001</v>
      </c>
      <c r="R19" s="560">
        <v>0</v>
      </c>
      <c r="S19" s="1273">
        <f>7772.94/(10^7)</f>
        <v>7.7729400000000021E-4</v>
      </c>
      <c r="T19" s="1273">
        <f>-18726.68/(10^7)</f>
        <v>-1.8726680000000003E-3</v>
      </c>
      <c r="U19" s="1273">
        <f>-11580.51/(10^7)</f>
        <v>-1.1580509999999998E-3</v>
      </c>
      <c r="V19" s="1273">
        <f>38782.8/(10^7)</f>
        <v>3.8782800000000009E-3</v>
      </c>
      <c r="W19" s="643">
        <f>+SUM(N19:V19)</f>
        <v>0.23231822885000003</v>
      </c>
      <c r="X19" s="560">
        <v>0</v>
      </c>
      <c r="Y19" s="643">
        <f>+W19+X19</f>
        <v>0.23231822885000003</v>
      </c>
      <c r="Z19" s="560">
        <f t="shared" si="0"/>
        <v>6.1987232339160698</v>
      </c>
      <c r="AA19" s="1274">
        <f t="shared" si="1"/>
        <v>1.1555639696857811</v>
      </c>
    </row>
    <row r="20" spans="2:27">
      <c r="B20" s="129" t="str">
        <f>'F1'!B41</f>
        <v>LT III (A)</v>
      </c>
      <c r="C20" s="564">
        <v>1</v>
      </c>
      <c r="D20" s="564">
        <v>190</v>
      </c>
      <c r="E20" s="564"/>
      <c r="F20" s="564">
        <f>+F19</f>
        <v>0.95</v>
      </c>
      <c r="G20" s="564">
        <v>4.45</v>
      </c>
      <c r="H20" s="564">
        <v>0</v>
      </c>
      <c r="I20" s="564">
        <f>'F13 B'!R85/10^7</f>
        <v>3.6475706269962125E-3</v>
      </c>
      <c r="J20" s="1272">
        <v>0</v>
      </c>
      <c r="K20" s="935">
        <f>'F13 B'!F85</f>
        <v>0</v>
      </c>
      <c r="L20" s="935">
        <v>0</v>
      </c>
      <c r="M20" s="564">
        <v>6.2392000000000003E-3</v>
      </c>
      <c r="N20" s="1273">
        <f>2280/(10^7)</f>
        <v>2.2800000000000001E-4</v>
      </c>
      <c r="O20" s="560">
        <v>0</v>
      </c>
      <c r="P20" s="1273">
        <f>5927.26/(10^7)</f>
        <v>5.9272600000000002E-4</v>
      </c>
      <c r="Q20" s="1273">
        <f>27764.47/(10^7)</f>
        <v>2.776447E-3</v>
      </c>
      <c r="R20" s="560">
        <v>0</v>
      </c>
      <c r="S20" s="1273">
        <f>90.48/(10^7)</f>
        <v>9.0480000000000021E-6</v>
      </c>
      <c r="T20" s="1273">
        <f>0/(10^7)</f>
        <v>0</v>
      </c>
      <c r="U20" s="1273">
        <f>0/(10^7)</f>
        <v>0</v>
      </c>
      <c r="V20" s="1273">
        <f>0/(10^7)</f>
        <v>0</v>
      </c>
      <c r="W20" s="643">
        <f>+SUM(N20:V20)</f>
        <v>3.6062210000000002E-3</v>
      </c>
      <c r="X20" s="560">
        <v>0</v>
      </c>
      <c r="Y20" s="643">
        <f t="shared" si="2"/>
        <v>3.6062210000000002E-3</v>
      </c>
      <c r="Z20" s="560">
        <f t="shared" si="0"/>
        <v>5.779941338633158</v>
      </c>
      <c r="AA20" s="1274">
        <f t="shared" si="1"/>
        <v>1.0774947849385323</v>
      </c>
    </row>
    <row r="21" spans="2:27">
      <c r="B21" s="129" t="str">
        <f>'F1'!B42</f>
        <v>LT III (B)</v>
      </c>
      <c r="C21" s="564">
        <v>29</v>
      </c>
      <c r="D21" s="564">
        <v>0</v>
      </c>
      <c r="E21" s="564">
        <v>150</v>
      </c>
      <c r="F21" s="564">
        <f>+F20</f>
        <v>0.95</v>
      </c>
      <c r="G21" s="564">
        <v>4.45</v>
      </c>
      <c r="H21" s="564">
        <v>0</v>
      </c>
      <c r="I21" s="564">
        <v>0</v>
      </c>
      <c r="J21" s="935">
        <v>2995</v>
      </c>
      <c r="K21" s="935">
        <v>2708</v>
      </c>
      <c r="L21" s="935">
        <v>1234</v>
      </c>
      <c r="M21" s="564">
        <v>7.1286850800000003</v>
      </c>
      <c r="N21" s="1273">
        <v>0</v>
      </c>
      <c r="O21" s="1273">
        <f>2221800/(10^7)</f>
        <v>0.22217999999999999</v>
      </c>
      <c r="P21" s="1273">
        <f>6772250.826/(10^7)</f>
        <v>0.67722508259999992</v>
      </c>
      <c r="Q21" s="1273">
        <f>31722648.61/(10^7)</f>
        <v>3.1722648610000004</v>
      </c>
      <c r="R21" s="560">
        <v>0</v>
      </c>
      <c r="S21" s="1273">
        <f>-95784.9699999999/(10^7)</f>
        <v>-9.5784969999999862E-3</v>
      </c>
      <c r="T21" s="1273">
        <f>-645577.54/(10^7)</f>
        <v>-6.4557754000000009E-2</v>
      </c>
      <c r="U21" s="1273">
        <f>-2272163.68/(10^7)</f>
        <v>-0.22721636800000003</v>
      </c>
      <c r="V21" s="1273">
        <f>128844/(10^7)</f>
        <v>1.2884400000000001E-2</v>
      </c>
      <c r="W21" s="643">
        <f>+SUM(N21:V21)</f>
        <v>3.7832017246</v>
      </c>
      <c r="X21" s="560">
        <v>0</v>
      </c>
      <c r="Y21" s="643">
        <f>+W21+X21</f>
        <v>3.7832017246</v>
      </c>
      <c r="Z21" s="560">
        <f t="shared" si="0"/>
        <v>5.3070119975057164</v>
      </c>
      <c r="AA21" s="1274">
        <f t="shared" si="1"/>
        <v>0.98933145094356489</v>
      </c>
    </row>
    <row r="22" spans="2:27" ht="19.5" customHeight="1">
      <c r="B22" s="194" t="s">
        <v>115</v>
      </c>
      <c r="C22" s="565">
        <f>+SUM(C13:C21)</f>
        <v>116</v>
      </c>
      <c r="D22" s="565"/>
      <c r="E22" s="565"/>
      <c r="F22" s="565"/>
      <c r="G22" s="565"/>
      <c r="H22" s="565"/>
      <c r="I22" s="565"/>
      <c r="J22" s="933"/>
      <c r="K22" s="933"/>
      <c r="L22" s="933"/>
      <c r="M22" s="565">
        <f t="shared" ref="M22:R22" si="3">+SUM(M13:M21)</f>
        <v>83.407231940000003</v>
      </c>
      <c r="N22" s="565">
        <f t="shared" si="3"/>
        <v>7.4479999999999998E-3</v>
      </c>
      <c r="O22" s="565">
        <f t="shared" si="3"/>
        <v>4.2444749999999996</v>
      </c>
      <c r="P22" s="565">
        <f t="shared" si="3"/>
        <v>7.9236870769000003</v>
      </c>
      <c r="Q22" s="565">
        <f t="shared" si="3"/>
        <v>35.314057264050007</v>
      </c>
      <c r="R22" s="565">
        <f t="shared" si="3"/>
        <v>0</v>
      </c>
      <c r="S22" s="565">
        <f t="shared" ref="S22:W22" si="4">+SUM(S13:S21)</f>
        <v>-0.10225908486999964</v>
      </c>
      <c r="T22" s="565">
        <f t="shared" si="4"/>
        <v>-0.67217248699999987</v>
      </c>
      <c r="U22" s="565">
        <f t="shared" si="4"/>
        <v>-2.0361645500000001</v>
      </c>
      <c r="V22" s="565">
        <f t="shared" si="4"/>
        <v>6.2575289999999992E-2</v>
      </c>
      <c r="W22" s="565">
        <f t="shared" si="4"/>
        <v>44.741646509079999</v>
      </c>
      <c r="X22" s="565">
        <f t="shared" ref="X22:Y22" si="5">+SUM(X13:X21)</f>
        <v>0</v>
      </c>
      <c r="Y22" s="565">
        <f t="shared" si="5"/>
        <v>44.741646509079999</v>
      </c>
      <c r="Z22" s="845">
        <f>+IF(M22=0,0,Y22/M22*10)</f>
        <v>5.3642406621604994</v>
      </c>
      <c r="AA22" s="1274">
        <f t="shared" si="1"/>
        <v>1</v>
      </c>
    </row>
    <row r="23" spans="2:27">
      <c r="B23" s="39"/>
      <c r="C23" s="253"/>
      <c r="D23" s="253"/>
      <c r="E23" s="253"/>
      <c r="F23" s="253"/>
      <c r="G23" s="253"/>
      <c r="H23" s="253"/>
      <c r="I23" s="253"/>
      <c r="J23" s="253"/>
      <c r="K23" s="253"/>
      <c r="L23" s="253"/>
      <c r="M23" s="253"/>
      <c r="N23" s="331"/>
      <c r="O23" s="331"/>
      <c r="P23" s="331"/>
      <c r="Q23" s="331"/>
      <c r="R23" s="331"/>
      <c r="S23" s="331"/>
      <c r="T23" s="331"/>
      <c r="U23" s="331"/>
      <c r="V23" s="331"/>
      <c r="W23" s="331"/>
      <c r="X23" s="331"/>
      <c r="Y23" s="331"/>
      <c r="Z23" s="3"/>
      <c r="AA23" s="3"/>
    </row>
    <row r="24" spans="2:27">
      <c r="B24" s="255" t="s">
        <v>601</v>
      </c>
      <c r="C24" s="255"/>
      <c r="D24" s="255"/>
      <c r="E24" s="255"/>
      <c r="F24" s="255"/>
      <c r="G24" s="255"/>
      <c r="H24" s="255"/>
      <c r="I24" s="255"/>
      <c r="J24" s="255"/>
      <c r="K24" s="255"/>
      <c r="L24" s="255"/>
      <c r="M24" s="255"/>
      <c r="N24" s="255"/>
      <c r="O24" s="255"/>
      <c r="P24" s="255"/>
      <c r="Q24" s="255"/>
      <c r="R24" s="255"/>
      <c r="S24" s="255"/>
      <c r="T24" s="255"/>
      <c r="U24" s="255"/>
      <c r="V24" s="255"/>
      <c r="W24" s="255"/>
      <c r="X24" s="255"/>
      <c r="Y24" s="255"/>
    </row>
    <row r="25" spans="2:27">
      <c r="B25" s="246" t="s">
        <v>600</v>
      </c>
      <c r="C25" s="255"/>
      <c r="D25" s="255"/>
      <c r="E25" s="255"/>
      <c r="F25" s="255"/>
      <c r="G25" s="255"/>
      <c r="H25" s="255"/>
      <c r="I25" s="255"/>
      <c r="J25" s="255"/>
      <c r="K25" s="255"/>
      <c r="L25" s="255"/>
      <c r="M25" s="255"/>
      <c r="N25" s="255"/>
      <c r="O25" s="255"/>
      <c r="P25" s="255"/>
      <c r="Q25" s="255"/>
      <c r="R25" s="255"/>
      <c r="S25" s="255"/>
      <c r="T25" s="255"/>
      <c r="U25" s="255"/>
      <c r="V25" s="255"/>
      <c r="W25" s="255"/>
      <c r="X25" s="255"/>
      <c r="Y25" s="255"/>
    </row>
    <row r="26" spans="2:27">
      <c r="B26" s="18" t="s">
        <v>602</v>
      </c>
      <c r="C26" s="255"/>
      <c r="D26" s="255"/>
      <c r="E26" s="255"/>
      <c r="F26" s="255"/>
      <c r="G26" s="255"/>
      <c r="H26" s="255"/>
      <c r="I26" s="255"/>
      <c r="J26" s="255"/>
      <c r="K26" s="255"/>
      <c r="L26" s="255"/>
      <c r="M26" s="255"/>
      <c r="N26" s="255"/>
      <c r="O26" s="255"/>
      <c r="P26" s="255"/>
      <c r="Q26" s="255"/>
      <c r="R26" s="255"/>
      <c r="S26" s="255"/>
      <c r="T26" s="255"/>
      <c r="U26" s="255"/>
      <c r="V26" s="255"/>
      <c r="W26" s="255"/>
      <c r="X26" s="255"/>
      <c r="Y26" s="255"/>
    </row>
  </sheetData>
  <mergeCells count="9">
    <mergeCell ref="Z10:Z11"/>
    <mergeCell ref="AA10:AA11"/>
    <mergeCell ref="X10:X11"/>
    <mergeCell ref="Y10:Y11"/>
    <mergeCell ref="B10:B11"/>
    <mergeCell ref="C10:C11"/>
    <mergeCell ref="D10:I10"/>
    <mergeCell ref="J10:M10"/>
    <mergeCell ref="N10:W10"/>
  </mergeCells>
  <pageMargins left="0.25" right="0.25" top="0.75" bottom="0.75" header="0.3" footer="0.3"/>
  <pageSetup scale="3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C000"/>
    <pageSetUpPr fitToPage="1"/>
  </sheetPr>
  <dimension ref="B2:Y50"/>
  <sheetViews>
    <sheetView showGridLines="0" view="pageBreakPreview" zoomScale="70" zoomScaleNormal="80" zoomScaleSheetLayoutView="70" workbookViewId="0">
      <pane xSplit="3" ySplit="11" topLeftCell="F32" activePane="bottomRight" state="frozen"/>
      <selection activeCell="C11" sqref="C11:C12"/>
      <selection pane="topRight" activeCell="C11" sqref="C11:C12"/>
      <selection pane="bottomLeft" activeCell="C11" sqref="C11:C12"/>
      <selection pane="bottomRight" activeCell="C11" sqref="C11:C12"/>
    </sheetView>
  </sheetViews>
  <sheetFormatPr defaultColWidth="8.85546875" defaultRowHeight="15"/>
  <cols>
    <col min="1" max="1" width="8.85546875" style="1"/>
    <col min="2" max="2" width="21.140625" style="1" customWidth="1"/>
    <col min="3" max="3" width="14" style="1" customWidth="1"/>
    <col min="4" max="23" width="11.5703125" style="1" customWidth="1"/>
    <col min="24" max="24" width="10.28515625" style="1" customWidth="1"/>
    <col min="25" max="25" width="14.42578125" style="1" customWidth="1"/>
    <col min="26" max="26" width="12.42578125" style="1" customWidth="1"/>
    <col min="27" max="16384" width="8.85546875" style="1"/>
  </cols>
  <sheetData>
    <row r="2" spans="2:25">
      <c r="C2" s="183"/>
      <c r="D2" s="183"/>
      <c r="E2" s="183"/>
      <c r="F2" s="375"/>
      <c r="G2" s="183"/>
      <c r="H2" s="183"/>
      <c r="J2" s="375" t="s">
        <v>906</v>
      </c>
      <c r="K2" s="183"/>
      <c r="L2" s="183"/>
      <c r="M2" s="183"/>
      <c r="N2" s="183"/>
      <c r="O2" s="375"/>
      <c r="P2" s="183"/>
    </row>
    <row r="3" spans="2:25">
      <c r="C3" s="189"/>
      <c r="D3" s="189"/>
      <c r="E3" s="189"/>
      <c r="F3" s="189"/>
      <c r="G3" s="189"/>
      <c r="H3" s="189"/>
      <c r="J3" s="373" t="s">
        <v>722</v>
      </c>
      <c r="K3" s="189"/>
      <c r="L3" s="189"/>
      <c r="M3" s="189"/>
      <c r="N3" s="189"/>
      <c r="O3" s="189"/>
      <c r="P3" s="189"/>
    </row>
    <row r="4" spans="2:25">
      <c r="C4" s="189"/>
      <c r="D4" s="189"/>
      <c r="E4" s="189"/>
      <c r="F4" s="189"/>
      <c r="G4" s="189"/>
      <c r="H4" s="189"/>
      <c r="J4" s="189" t="s">
        <v>701</v>
      </c>
      <c r="K4" s="189"/>
      <c r="L4" s="189"/>
      <c r="M4" s="189"/>
      <c r="N4" s="189"/>
      <c r="O4" s="189"/>
      <c r="P4" s="189"/>
    </row>
    <row r="5" spans="2:25">
      <c r="B5" s="189"/>
      <c r="C5" s="189"/>
      <c r="D5" s="189"/>
      <c r="E5" s="189"/>
      <c r="F5" s="189"/>
      <c r="G5" s="189"/>
      <c r="H5" s="189"/>
      <c r="I5" s="189"/>
      <c r="J5" s="189"/>
      <c r="K5" s="189"/>
      <c r="L5" s="189"/>
      <c r="M5" s="189"/>
      <c r="N5" s="189"/>
      <c r="O5" s="189"/>
      <c r="P5" s="189"/>
    </row>
    <row r="6" spans="2:25">
      <c r="B6" s="189"/>
      <c r="C6" s="189"/>
      <c r="D6" s="189"/>
      <c r="E6" s="189"/>
      <c r="F6" s="189"/>
      <c r="G6" s="189"/>
      <c r="H6" s="189"/>
      <c r="I6" s="189"/>
      <c r="J6" s="189"/>
      <c r="K6" s="189"/>
      <c r="L6" s="189"/>
      <c r="M6" s="189"/>
      <c r="N6" s="189"/>
      <c r="O6" s="189"/>
      <c r="P6" s="189"/>
    </row>
    <row r="7" spans="2:25">
      <c r="B7" s="252" t="s">
        <v>389</v>
      </c>
      <c r="C7" s="253"/>
      <c r="D7" s="253"/>
      <c r="E7" s="253"/>
      <c r="F7" s="253"/>
      <c r="G7" s="253"/>
      <c r="H7" s="253"/>
      <c r="I7" s="253"/>
      <c r="J7" s="253"/>
      <c r="K7" s="253"/>
      <c r="L7" s="253"/>
      <c r="M7" s="253"/>
      <c r="N7" s="253"/>
      <c r="O7" s="253"/>
      <c r="P7" s="253"/>
      <c r="Q7" s="253"/>
      <c r="R7" s="253"/>
      <c r="S7" s="253"/>
      <c r="T7" s="253"/>
      <c r="U7" s="253"/>
      <c r="V7" s="253"/>
      <c r="W7" s="253"/>
    </row>
    <row r="8" spans="2:25">
      <c r="B8" s="252" t="s">
        <v>375</v>
      </c>
      <c r="C8" s="253"/>
      <c r="D8" s="253"/>
      <c r="E8" s="253"/>
      <c r="F8" s="253"/>
      <c r="G8" s="253"/>
      <c r="H8" s="253"/>
      <c r="I8" s="253"/>
      <c r="J8" s="253"/>
      <c r="K8" s="253"/>
      <c r="L8" s="253"/>
      <c r="M8" s="253"/>
      <c r="N8" s="253"/>
      <c r="O8" s="253"/>
      <c r="P8" s="253"/>
      <c r="Q8" s="253"/>
      <c r="R8" s="253"/>
      <c r="S8" s="253"/>
      <c r="T8" s="253"/>
      <c r="U8" s="253"/>
      <c r="V8" s="253"/>
      <c r="W8" s="253"/>
    </row>
    <row r="9" spans="2:25">
      <c r="B9" s="253"/>
      <c r="C9" s="253"/>
      <c r="D9" s="253"/>
      <c r="E9" s="253"/>
      <c r="F9" s="253"/>
      <c r="G9" s="253"/>
      <c r="H9" s="253"/>
      <c r="I9" s="253"/>
      <c r="J9" s="253"/>
      <c r="K9" s="253"/>
      <c r="L9" s="253"/>
      <c r="M9" s="253"/>
      <c r="N9" s="253"/>
      <c r="O9" s="253"/>
      <c r="P9" s="253"/>
      <c r="Q9" s="253"/>
      <c r="R9" s="253"/>
      <c r="S9" s="253"/>
      <c r="T9" s="253"/>
      <c r="U9" s="253"/>
      <c r="V9" s="253"/>
      <c r="W9" s="253"/>
    </row>
    <row r="10" spans="2:25" ht="13.9" customHeight="1">
      <c r="B10" s="1521"/>
      <c r="C10" s="1517" t="s">
        <v>368</v>
      </c>
      <c r="D10" s="1519" t="s">
        <v>376</v>
      </c>
      <c r="E10" s="1519"/>
      <c r="F10" s="1519"/>
      <c r="G10" s="1519"/>
      <c r="H10" s="1519"/>
      <c r="I10" s="1519"/>
      <c r="J10" s="1517" t="s">
        <v>377</v>
      </c>
      <c r="K10" s="1517"/>
      <c r="L10" s="1517"/>
      <c r="M10" s="1520" t="s">
        <v>378</v>
      </c>
      <c r="N10" s="1520"/>
      <c r="O10" s="1520"/>
      <c r="P10" s="1520"/>
      <c r="Q10" s="1520"/>
      <c r="R10" s="1520"/>
      <c r="S10" s="1520"/>
      <c r="T10" s="1520"/>
      <c r="U10" s="1520"/>
      <c r="V10" s="1517" t="s">
        <v>372</v>
      </c>
      <c r="W10" s="1517" t="s">
        <v>379</v>
      </c>
      <c r="X10" s="1517" t="s">
        <v>380</v>
      </c>
      <c r="Y10" s="1517" t="s">
        <v>479</v>
      </c>
    </row>
    <row r="11" spans="2:25" ht="57">
      <c r="B11" s="1521"/>
      <c r="C11" s="1517"/>
      <c r="D11" s="911" t="s">
        <v>1092</v>
      </c>
      <c r="E11" s="911" t="s">
        <v>1089</v>
      </c>
      <c r="F11" s="911" t="s">
        <v>1091</v>
      </c>
      <c r="G11" s="911" t="s">
        <v>1090</v>
      </c>
      <c r="H11" s="320" t="s">
        <v>603</v>
      </c>
      <c r="I11" s="320" t="s">
        <v>381</v>
      </c>
      <c r="J11" s="320" t="s">
        <v>478</v>
      </c>
      <c r="K11" s="320" t="s">
        <v>382</v>
      </c>
      <c r="L11" s="320" t="s">
        <v>369</v>
      </c>
      <c r="M11" s="320" t="s">
        <v>383</v>
      </c>
      <c r="N11" s="320" t="s">
        <v>384</v>
      </c>
      <c r="O11" s="911" t="s">
        <v>1093</v>
      </c>
      <c r="P11" s="320" t="s">
        <v>385</v>
      </c>
      <c r="Q11" s="320" t="s">
        <v>604</v>
      </c>
      <c r="R11" s="320" t="s">
        <v>386</v>
      </c>
      <c r="S11" s="339" t="s">
        <v>1108</v>
      </c>
      <c r="T11" s="339" t="s">
        <v>840</v>
      </c>
      <c r="U11" s="319" t="s">
        <v>115</v>
      </c>
      <c r="V11" s="1517"/>
      <c r="W11" s="1517"/>
      <c r="X11" s="1517"/>
      <c r="Y11" s="1517"/>
    </row>
    <row r="12" spans="2:25">
      <c r="B12" s="193"/>
      <c r="C12" s="254"/>
      <c r="D12" s="134"/>
      <c r="E12" s="134"/>
      <c r="F12" s="134"/>
      <c r="G12" s="134"/>
      <c r="H12" s="134"/>
      <c r="I12" s="134"/>
      <c r="J12" s="134"/>
      <c r="K12" s="134"/>
      <c r="L12" s="134"/>
      <c r="M12" s="134"/>
      <c r="N12" s="134"/>
      <c r="O12" s="134"/>
      <c r="P12" s="134"/>
      <c r="Q12" s="134"/>
      <c r="R12" s="134"/>
      <c r="S12" s="134"/>
      <c r="T12" s="134"/>
      <c r="U12" s="135"/>
      <c r="V12" s="254"/>
      <c r="W12" s="254"/>
      <c r="X12" s="254"/>
      <c r="Y12" s="254"/>
    </row>
    <row r="13" spans="2:25">
      <c r="B13" s="194" t="str">
        <f>'F1'!B32</f>
        <v>HT Category</v>
      </c>
      <c r="C13" s="129"/>
      <c r="D13" s="129"/>
      <c r="E13" s="129"/>
      <c r="F13" s="160"/>
      <c r="H13" s="129"/>
      <c r="I13" s="129"/>
      <c r="J13" s="129"/>
      <c r="K13" s="129"/>
      <c r="L13" s="129"/>
      <c r="M13" s="129"/>
      <c r="N13" s="129"/>
      <c r="O13" s="129"/>
      <c r="P13" s="129"/>
      <c r="Q13" s="129"/>
      <c r="R13" s="129"/>
      <c r="S13" s="129"/>
      <c r="T13" s="129"/>
      <c r="U13" s="129"/>
      <c r="V13" s="129"/>
      <c r="W13" s="129"/>
      <c r="X13" s="129"/>
      <c r="Y13" s="129"/>
    </row>
    <row r="14" spans="2:25" s="216" customFormat="1" ht="14.25">
      <c r="B14" s="194" t="str">
        <f>'F1'!B33</f>
        <v>HT I</v>
      </c>
      <c r="C14" s="194">
        <f>'F13 B'!B93</f>
        <v>45</v>
      </c>
      <c r="D14" s="41"/>
      <c r="E14" s="933">
        <v>190</v>
      </c>
      <c r="F14" s="845">
        <v>0.95</v>
      </c>
      <c r="G14" s="248">
        <v>4.2699999999999996</v>
      </c>
      <c r="H14" s="248"/>
      <c r="I14" s="248"/>
      <c r="J14" s="248"/>
      <c r="K14" s="1195">
        <f>+'F13.1'!K13</f>
        <v>25021</v>
      </c>
      <c r="L14" s="845">
        <f>'F1'!L33</f>
        <v>79.618412711600016</v>
      </c>
      <c r="M14" s="248"/>
      <c r="N14" s="845">
        <f>E14*K14*12/10^7</f>
        <v>5.7047879999999997</v>
      </c>
      <c r="O14" s="845">
        <f>+F14*L14/10</f>
        <v>7.563749207602001</v>
      </c>
      <c r="P14" s="845">
        <f>SUM(P15:P18)</f>
        <v>33.335233227383817</v>
      </c>
      <c r="Q14" s="248"/>
      <c r="R14" s="248"/>
      <c r="S14" s="845">
        <f>+Backup!F221</f>
        <v>-1.7861671599999998</v>
      </c>
      <c r="T14" s="845">
        <f>+'F13.1'!V13</f>
        <v>4.5812609999999997E-2</v>
      </c>
      <c r="U14" s="845">
        <f>SUM(M14:T14)</f>
        <v>44.86341588498582</v>
      </c>
      <c r="V14" s="248"/>
      <c r="W14" s="1087">
        <f>U14+V14</f>
        <v>44.86341588498582</v>
      </c>
      <c r="X14" s="845">
        <f>W14*10/L14</f>
        <v>5.6348041058660083</v>
      </c>
      <c r="Y14" s="1196">
        <f ca="1">+X14/$X$48</f>
        <v>0.8430162878798142</v>
      </c>
    </row>
    <row r="15" spans="2:25">
      <c r="B15" s="129" t="s">
        <v>1061</v>
      </c>
      <c r="C15" s="129"/>
      <c r="D15" s="14"/>
      <c r="E15" s="935"/>
      <c r="F15" s="560"/>
      <c r="G15" s="560">
        <v>-1.5</v>
      </c>
      <c r="H15" s="105"/>
      <c r="I15" s="105"/>
      <c r="J15" s="105"/>
      <c r="K15" s="1197"/>
      <c r="L15" s="560">
        <f>+L14*'F13 B'!I377</f>
        <v>21.152524974856732</v>
      </c>
      <c r="M15" s="105"/>
      <c r="N15" s="560"/>
      <c r="O15" s="560"/>
      <c r="P15" s="560">
        <f>+L15*($G$14+G15)/10</f>
        <v>5.8592494180353132</v>
      </c>
      <c r="Q15" s="105"/>
      <c r="R15" s="105"/>
      <c r="S15" s="105"/>
      <c r="T15" s="105"/>
      <c r="U15" s="560"/>
      <c r="V15" s="105"/>
      <c r="W15" s="1148"/>
      <c r="X15" s="560"/>
      <c r="Y15" s="105"/>
    </row>
    <row r="16" spans="2:25" ht="30">
      <c r="B16" s="948" t="s">
        <v>1062</v>
      </c>
      <c r="C16" s="129"/>
      <c r="D16" s="14"/>
      <c r="E16" s="935"/>
      <c r="F16" s="560"/>
      <c r="G16" s="560">
        <v>0</v>
      </c>
      <c r="H16" s="105"/>
      <c r="I16" s="105"/>
      <c r="J16" s="105"/>
      <c r="K16" s="1197"/>
      <c r="L16" s="560">
        <f>+L14*'F13 B'!J377</f>
        <v>32.574706433990578</v>
      </c>
      <c r="M16" s="105"/>
      <c r="N16" s="560"/>
      <c r="O16" s="560"/>
      <c r="P16" s="560">
        <f t="shared" ref="P16:P18" si="0">+L16*($G$14+G16)/10</f>
        <v>13.909399647313975</v>
      </c>
      <c r="Q16" s="105"/>
      <c r="R16" s="105"/>
      <c r="S16" s="105"/>
      <c r="T16" s="105"/>
      <c r="U16" s="560"/>
      <c r="V16" s="105"/>
      <c r="W16" s="1148"/>
      <c r="X16" s="560"/>
      <c r="Y16" s="105"/>
    </row>
    <row r="17" spans="2:25">
      <c r="B17" s="129" t="s">
        <v>1063</v>
      </c>
      <c r="C17" s="129"/>
      <c r="D17" s="14"/>
      <c r="E17" s="935"/>
      <c r="F17" s="560"/>
      <c r="G17" s="560">
        <v>0.8</v>
      </c>
      <c r="H17" s="105"/>
      <c r="I17" s="105"/>
      <c r="J17" s="105"/>
      <c r="K17" s="1197"/>
      <c r="L17" s="560">
        <f>+L14*'F13 B'!K377</f>
        <v>11.232673251455514</v>
      </c>
      <c r="M17" s="105"/>
      <c r="N17" s="560"/>
      <c r="O17" s="560"/>
      <c r="P17" s="560">
        <f t="shared" si="0"/>
        <v>5.6949653384879451</v>
      </c>
      <c r="Q17" s="105"/>
      <c r="R17" s="105"/>
      <c r="S17" s="105"/>
      <c r="T17" s="105"/>
      <c r="U17" s="560"/>
      <c r="V17" s="105"/>
      <c r="W17" s="1148"/>
      <c r="X17" s="560"/>
      <c r="Y17" s="105"/>
    </row>
    <row r="18" spans="2:25">
      <c r="B18" s="129" t="s">
        <v>1064</v>
      </c>
      <c r="C18" s="129"/>
      <c r="D18" s="14"/>
      <c r="E18" s="935"/>
      <c r="F18" s="560"/>
      <c r="G18" s="560">
        <v>1.1000000000000001</v>
      </c>
      <c r="H18" s="105"/>
      <c r="I18" s="105"/>
      <c r="J18" s="105"/>
      <c r="K18" s="1197"/>
      <c r="L18" s="560">
        <f>+L14*'F13 B'!L377</f>
        <v>14.658508051297185</v>
      </c>
      <c r="M18" s="105"/>
      <c r="N18" s="560"/>
      <c r="O18" s="560"/>
      <c r="P18" s="560">
        <f t="shared" si="0"/>
        <v>7.8716188235465863</v>
      </c>
      <c r="Q18" s="105"/>
      <c r="R18" s="105"/>
      <c r="S18" s="105"/>
      <c r="T18" s="105"/>
      <c r="U18" s="560"/>
      <c r="V18" s="105"/>
      <c r="W18" s="1148"/>
      <c r="X18" s="560"/>
      <c r="Y18" s="105"/>
    </row>
    <row r="19" spans="2:25">
      <c r="B19" s="129"/>
      <c r="C19" s="129"/>
      <c r="D19" s="14"/>
      <c r="E19" s="935"/>
      <c r="F19" s="560"/>
      <c r="G19" s="105"/>
      <c r="H19" s="105"/>
      <c r="I19" s="105"/>
      <c r="J19" s="105"/>
      <c r="K19" s="1197"/>
      <c r="L19" s="560"/>
      <c r="M19" s="105"/>
      <c r="N19" s="560"/>
      <c r="O19" s="560"/>
      <c r="P19" s="560"/>
      <c r="Q19" s="105"/>
      <c r="R19" s="105"/>
      <c r="S19" s="105"/>
      <c r="T19" s="105"/>
      <c r="U19" s="560"/>
      <c r="V19" s="105"/>
      <c r="W19" s="1148"/>
      <c r="X19" s="560"/>
      <c r="Y19" s="105"/>
    </row>
    <row r="20" spans="2:25" s="216" customFormat="1" ht="14.25">
      <c r="B20" s="194" t="str">
        <f>'F1'!B34</f>
        <v>HT II</v>
      </c>
      <c r="C20" s="194">
        <f>'F13 B'!B94</f>
        <v>1</v>
      </c>
      <c r="D20" s="41"/>
      <c r="E20" s="933">
        <v>190</v>
      </c>
      <c r="F20" s="845">
        <v>0.95</v>
      </c>
      <c r="G20" s="248">
        <v>4.25</v>
      </c>
      <c r="H20" s="248"/>
      <c r="I20" s="248"/>
      <c r="J20" s="248"/>
      <c r="K20" s="248">
        <f>Backup!P50</f>
        <v>1000</v>
      </c>
      <c r="L20" s="845">
        <f>'F1'!L34</f>
        <v>5</v>
      </c>
      <c r="M20" s="248"/>
      <c r="N20" s="845">
        <f>E20*K20*12/10^7</f>
        <v>0.22800000000000001</v>
      </c>
      <c r="O20" s="845">
        <f>+F20*L20/10</f>
        <v>0.47499999999999998</v>
      </c>
      <c r="P20" s="845">
        <f>SUM(P21:P24)</f>
        <v>2.0834374406667266</v>
      </c>
      <c r="Q20" s="248"/>
      <c r="R20" s="248"/>
      <c r="S20" s="845">
        <f>+Backup!F222</f>
        <v>0</v>
      </c>
      <c r="T20" s="248"/>
      <c r="U20" s="845">
        <f>SUM(M20:T20)</f>
        <v>2.7864374406667265</v>
      </c>
      <c r="V20" s="248"/>
      <c r="W20" s="1087">
        <f t="shared" ref="W20:W45" si="1">U20+V20</f>
        <v>2.7864374406667265</v>
      </c>
      <c r="X20" s="845">
        <f t="shared" ref="X20:X46" si="2">W20*10/L20</f>
        <v>5.572874881333453</v>
      </c>
      <c r="Y20" s="1196">
        <f ca="1">+X20/$X$48</f>
        <v>0.83375113083161079</v>
      </c>
    </row>
    <row r="21" spans="2:25">
      <c r="B21" s="129" t="s">
        <v>1061</v>
      </c>
      <c r="C21" s="129"/>
      <c r="D21" s="14"/>
      <c r="E21" s="935"/>
      <c r="F21" s="560"/>
      <c r="G21" s="560">
        <v>-1.5</v>
      </c>
      <c r="H21" s="105"/>
      <c r="I21" s="105"/>
      <c r="J21" s="105"/>
      <c r="K21" s="105"/>
      <c r="L21" s="560">
        <f>+L20*'F13 B'!I377</f>
        <v>1.3283689196038764</v>
      </c>
      <c r="M21" s="105"/>
      <c r="N21" s="560"/>
      <c r="O21" s="560"/>
      <c r="P21" s="560">
        <f>+L21*($G$20+G21)/10</f>
        <v>0.36530145289106597</v>
      </c>
      <c r="Q21" s="105"/>
      <c r="R21" s="105"/>
      <c r="S21" s="105"/>
      <c r="T21" s="105"/>
      <c r="U21" s="560"/>
      <c r="V21" s="105"/>
      <c r="W21" s="1148"/>
      <c r="X21" s="560"/>
      <c r="Y21" s="105"/>
    </row>
    <row r="22" spans="2:25" ht="30">
      <c r="B22" s="948" t="s">
        <v>1062</v>
      </c>
      <c r="C22" s="129"/>
      <c r="D22" s="14"/>
      <c r="E22" s="935"/>
      <c r="F22" s="560"/>
      <c r="G22" s="560">
        <v>0</v>
      </c>
      <c r="H22" s="105"/>
      <c r="I22" s="105"/>
      <c r="J22" s="105"/>
      <c r="K22" s="105"/>
      <c r="L22" s="560">
        <f>+L20*'F13 B'!J377</f>
        <v>2.0456767049592663</v>
      </c>
      <c r="M22" s="105"/>
      <c r="N22" s="560"/>
      <c r="O22" s="560"/>
      <c r="P22" s="560">
        <f t="shared" ref="P22:P24" si="3">+L22*($G$20+G22)/10</f>
        <v>0.86941259960768813</v>
      </c>
      <c r="Q22" s="105"/>
      <c r="R22" s="105"/>
      <c r="S22" s="105"/>
      <c r="T22" s="105"/>
      <c r="U22" s="560"/>
      <c r="V22" s="105"/>
      <c r="W22" s="1148"/>
      <c r="X22" s="560"/>
      <c r="Y22" s="105"/>
    </row>
    <row r="23" spans="2:25">
      <c r="B23" s="129" t="s">
        <v>1063</v>
      </c>
      <c r="C23" s="129"/>
      <c r="D23" s="14"/>
      <c r="E23" s="935"/>
      <c r="F23" s="560"/>
      <c r="G23" s="560">
        <v>0.8</v>
      </c>
      <c r="H23" s="105"/>
      <c r="I23" s="105"/>
      <c r="J23" s="105"/>
      <c r="K23" s="105"/>
      <c r="L23" s="560">
        <f>+L20*'F13 B'!K377</f>
        <v>0.70540675635819161</v>
      </c>
      <c r="M23" s="105"/>
      <c r="N23" s="560"/>
      <c r="O23" s="560"/>
      <c r="P23" s="560">
        <f t="shared" si="3"/>
        <v>0.35623041196088673</v>
      </c>
      <c r="Q23" s="105"/>
      <c r="R23" s="105"/>
      <c r="S23" s="105"/>
      <c r="T23" s="105"/>
      <c r="U23" s="560"/>
      <c r="V23" s="105"/>
      <c r="W23" s="1148"/>
      <c r="X23" s="560"/>
      <c r="Y23" s="105"/>
    </row>
    <row r="24" spans="2:25">
      <c r="B24" s="129" t="s">
        <v>1064</v>
      </c>
      <c r="C24" s="129"/>
      <c r="D24" s="14"/>
      <c r="E24" s="935"/>
      <c r="F24" s="560"/>
      <c r="G24" s="560">
        <v>1.1000000000000001</v>
      </c>
      <c r="H24" s="105"/>
      <c r="I24" s="105"/>
      <c r="J24" s="105"/>
      <c r="K24" s="105"/>
      <c r="L24" s="560">
        <f>+L20*'F13 B'!L377</f>
        <v>0.92054761907866522</v>
      </c>
      <c r="M24" s="105"/>
      <c r="N24" s="560"/>
      <c r="O24" s="560"/>
      <c r="P24" s="560">
        <f t="shared" si="3"/>
        <v>0.49249297620708588</v>
      </c>
      <c r="Q24" s="105"/>
      <c r="R24" s="105"/>
      <c r="S24" s="105"/>
      <c r="T24" s="105"/>
      <c r="U24" s="560"/>
      <c r="V24" s="105"/>
      <c r="W24" s="1148"/>
      <c r="X24" s="560"/>
      <c r="Y24" s="105"/>
    </row>
    <row r="25" spans="2:25">
      <c r="B25" s="129"/>
      <c r="C25" s="129"/>
      <c r="D25" s="14"/>
      <c r="E25" s="935"/>
      <c r="F25" s="560"/>
      <c r="G25" s="105"/>
      <c r="H25" s="105"/>
      <c r="I25" s="105"/>
      <c r="J25" s="105"/>
      <c r="K25" s="105"/>
      <c r="L25" s="560"/>
      <c r="M25" s="105"/>
      <c r="N25" s="560"/>
      <c r="O25" s="560"/>
      <c r="P25" s="560"/>
      <c r="Q25" s="105"/>
      <c r="R25" s="105"/>
      <c r="S25" s="105"/>
      <c r="T25" s="105"/>
      <c r="U25" s="560"/>
      <c r="V25" s="105"/>
      <c r="W25" s="1148"/>
      <c r="X25" s="560"/>
      <c r="Y25" s="105"/>
    </row>
    <row r="26" spans="2:25" s="216" customFormat="1" ht="14.25">
      <c r="B26" s="194" t="str">
        <f>'F1'!B35</f>
        <v>Sub-total HT</v>
      </c>
      <c r="C26" s="194">
        <f>+C20+C14</f>
        <v>46</v>
      </c>
      <c r="D26" s="41"/>
      <c r="E26" s="565"/>
      <c r="F26" s="845"/>
      <c r="G26" s="248"/>
      <c r="H26" s="248"/>
      <c r="I26" s="248"/>
      <c r="J26" s="248"/>
      <c r="K26" s="248"/>
      <c r="L26" s="551">
        <f>+L20+L14</f>
        <v>84.618412711600016</v>
      </c>
      <c r="M26" s="551">
        <f t="shared" ref="M26:W26" si="4">+M20+M14</f>
        <v>0</v>
      </c>
      <c r="N26" s="551">
        <f t="shared" si="4"/>
        <v>5.9327879999999995</v>
      </c>
      <c r="O26" s="551">
        <f t="shared" si="4"/>
        <v>8.0387492076020006</v>
      </c>
      <c r="P26" s="551">
        <f t="shared" si="4"/>
        <v>35.418670668050545</v>
      </c>
      <c r="Q26" s="551">
        <f t="shared" si="4"/>
        <v>0</v>
      </c>
      <c r="R26" s="551">
        <f t="shared" si="4"/>
        <v>0</v>
      </c>
      <c r="S26" s="845">
        <f t="shared" si="4"/>
        <v>-1.7861671599999998</v>
      </c>
      <c r="T26" s="551">
        <f t="shared" si="4"/>
        <v>4.5812609999999997E-2</v>
      </c>
      <c r="U26" s="551">
        <f t="shared" si="4"/>
        <v>47.649853325652543</v>
      </c>
      <c r="V26" s="248"/>
      <c r="W26" s="551">
        <f t="shared" si="4"/>
        <v>47.649853325652543</v>
      </c>
      <c r="X26" s="845">
        <f t="shared" si="2"/>
        <v>5.6311447826437906</v>
      </c>
      <c r="Y26" s="1196">
        <f ca="1">+X26/$X$48</f>
        <v>0.84246882091894248</v>
      </c>
    </row>
    <row r="27" spans="2:25">
      <c r="B27" s="194"/>
      <c r="C27" s="129"/>
      <c r="D27" s="564"/>
      <c r="E27" s="129"/>
      <c r="F27" s="105"/>
      <c r="G27" s="105"/>
      <c r="H27" s="105"/>
      <c r="I27" s="105"/>
      <c r="J27" s="105"/>
      <c r="K27" s="105"/>
      <c r="L27" s="560"/>
      <c r="M27" s="105"/>
      <c r="N27" s="560"/>
      <c r="O27" s="560"/>
      <c r="P27" s="560"/>
      <c r="Q27" s="105"/>
      <c r="R27" s="105"/>
      <c r="S27" s="105"/>
      <c r="T27" s="105"/>
      <c r="U27" s="560">
        <f t="shared" ref="U27:U45" si="5">SUM(M27:R27)</f>
        <v>0</v>
      </c>
      <c r="V27" s="105"/>
      <c r="W27" s="1148">
        <f t="shared" si="1"/>
        <v>0</v>
      </c>
      <c r="X27" s="560"/>
      <c r="Y27" s="105"/>
    </row>
    <row r="28" spans="2:25">
      <c r="B28" s="194" t="str">
        <f>'F1'!B37</f>
        <v>LT Category</v>
      </c>
      <c r="C28" s="129"/>
      <c r="D28" s="564"/>
      <c r="E28" s="129"/>
      <c r="F28" s="105"/>
      <c r="G28" s="105"/>
      <c r="H28" s="105"/>
      <c r="I28" s="105"/>
      <c r="J28" s="105"/>
      <c r="K28" s="105"/>
      <c r="L28" s="560"/>
      <c r="M28" s="105"/>
      <c r="N28" s="560"/>
      <c r="O28" s="560"/>
      <c r="P28" s="560"/>
      <c r="Q28" s="105"/>
      <c r="R28" s="105"/>
      <c r="S28" s="105"/>
      <c r="T28" s="105"/>
      <c r="U28" s="560">
        <f t="shared" si="5"/>
        <v>0</v>
      </c>
      <c r="V28" s="105"/>
      <c r="W28" s="1148">
        <f t="shared" si="1"/>
        <v>0</v>
      </c>
      <c r="X28" s="560"/>
      <c r="Y28" s="105"/>
    </row>
    <row r="29" spans="2:25" s="216" customFormat="1" ht="14.25">
      <c r="B29" s="194" t="str">
        <f>'F1'!B38</f>
        <v>LT I (G-P)</v>
      </c>
      <c r="C29" s="194">
        <f>'F13 B'!B95</f>
        <v>0</v>
      </c>
      <c r="D29" s="933">
        <v>190</v>
      </c>
      <c r="E29" s="194"/>
      <c r="F29" s="248">
        <v>0.95</v>
      </c>
      <c r="G29" s="248">
        <v>4.46</v>
      </c>
      <c r="H29" s="248"/>
      <c r="I29" s="248"/>
      <c r="J29" s="248"/>
      <c r="K29" s="248"/>
      <c r="L29" s="845">
        <f>'F1'!L38</f>
        <v>0</v>
      </c>
      <c r="M29" s="1198">
        <f>+C29*D29*12/10^7</f>
        <v>0</v>
      </c>
      <c r="N29" s="845">
        <f>D29*K29*12/10^7</f>
        <v>0</v>
      </c>
      <c r="O29" s="845">
        <f t="shared" ref="O29:O38" si="6">+F29*L29/10</f>
        <v>0</v>
      </c>
      <c r="P29" s="845">
        <f t="shared" ref="P29:P37" si="7">G29*L29/10</f>
        <v>0</v>
      </c>
      <c r="Q29" s="248"/>
      <c r="R29" s="248"/>
      <c r="S29" s="845">
        <f>+Backup!F226</f>
        <v>0</v>
      </c>
      <c r="T29" s="248"/>
      <c r="U29" s="845">
        <f t="shared" si="5"/>
        <v>0</v>
      </c>
      <c r="V29" s="248"/>
      <c r="W29" s="1087">
        <f t="shared" si="1"/>
        <v>0</v>
      </c>
      <c r="X29" s="845"/>
      <c r="Y29" s="1196">
        <f t="shared" ref="Y29:Y31" ca="1" si="8">+X29/$X$48</f>
        <v>0</v>
      </c>
    </row>
    <row r="30" spans="2:25" s="216" customFormat="1" ht="14.25">
      <c r="B30" s="194" t="str">
        <f>'F1'!B39</f>
        <v>LT II (A)</v>
      </c>
      <c r="C30" s="194">
        <f>'F13 B'!B96</f>
        <v>32</v>
      </c>
      <c r="D30" s="933">
        <v>190</v>
      </c>
      <c r="E30" s="194"/>
      <c r="F30" s="194">
        <v>0.95</v>
      </c>
      <c r="G30" s="194">
        <v>4.55</v>
      </c>
      <c r="H30" s="194"/>
      <c r="I30" s="194"/>
      <c r="J30" s="194"/>
      <c r="K30" s="194"/>
      <c r="L30" s="565">
        <f>'F1'!L39</f>
        <v>0.63808618499999992</v>
      </c>
      <c r="M30" s="951">
        <f>+C30*D30*12/10^7</f>
        <v>7.2960000000000004E-3</v>
      </c>
      <c r="N30" s="565">
        <f>D30*K30*12/10^7</f>
        <v>0</v>
      </c>
      <c r="O30" s="565">
        <f t="shared" si="6"/>
        <v>6.0618187574999996E-2</v>
      </c>
      <c r="P30" s="565">
        <f t="shared" si="7"/>
        <v>0.29032921417499996</v>
      </c>
      <c r="Q30" s="194"/>
      <c r="R30" s="194"/>
      <c r="S30" s="565">
        <f>+Backup!F227</f>
        <v>0</v>
      </c>
      <c r="T30" s="194"/>
      <c r="U30" s="565">
        <f t="shared" ref="U30:U31" si="9">SUM(M30:T30)</f>
        <v>0.35824340174999997</v>
      </c>
      <c r="V30" s="194"/>
      <c r="W30" s="806">
        <f t="shared" si="1"/>
        <v>0.35824340174999997</v>
      </c>
      <c r="X30" s="565">
        <f t="shared" si="2"/>
        <v>5.6143419207547964</v>
      </c>
      <c r="Y30" s="1015">
        <f t="shared" ca="1" si="8"/>
        <v>0.83995496489319865</v>
      </c>
    </row>
    <row r="31" spans="2:25" s="216" customFormat="1" ht="14.25">
      <c r="B31" s="194" t="str">
        <f>'F1'!B40</f>
        <v>LT II (B)</v>
      </c>
      <c r="C31" s="194">
        <f>'F13 B'!B97</f>
        <v>9</v>
      </c>
      <c r="D31" s="933"/>
      <c r="E31" s="194">
        <v>190</v>
      </c>
      <c r="F31" s="194">
        <v>0.95</v>
      </c>
      <c r="G31" s="194">
        <v>4.55</v>
      </c>
      <c r="H31" s="194"/>
      <c r="I31" s="194"/>
      <c r="J31" s="194"/>
      <c r="K31" s="949">
        <f>+'F13.1'!K19</f>
        <v>266</v>
      </c>
      <c r="L31" s="565">
        <f>'F1'!L40</f>
        <v>0.37853184000000001</v>
      </c>
      <c r="M31" s="951">
        <f t="shared" ref="M31:M38" si="10">+J31*D31*12/10^7</f>
        <v>0</v>
      </c>
      <c r="N31" s="565">
        <f>E31*K31*12/10^7</f>
        <v>6.0648000000000001E-2</v>
      </c>
      <c r="O31" s="565">
        <f t="shared" si="6"/>
        <v>3.5960524799999997E-2</v>
      </c>
      <c r="P31" s="565">
        <f>SUM(P32:P35)</f>
        <v>0.17116731962637197</v>
      </c>
      <c r="Q31" s="194"/>
      <c r="R31" s="194"/>
      <c r="S31" s="565">
        <f>+Backup!F228</f>
        <v>-2.8187880000000005E-3</v>
      </c>
      <c r="T31" s="565">
        <f>+'F13.1'!V19</f>
        <v>3.8782800000000009E-3</v>
      </c>
      <c r="U31" s="565">
        <f t="shared" si="9"/>
        <v>0.26883533642637197</v>
      </c>
      <c r="V31" s="194"/>
      <c r="W31" s="806">
        <f t="shared" si="1"/>
        <v>0.26883533642637197</v>
      </c>
      <c r="X31" s="565">
        <f t="shared" si="2"/>
        <v>7.1020534607173857</v>
      </c>
      <c r="Y31" s="1015">
        <f t="shared" ca="1" si="8"/>
        <v>1.0625297050779725</v>
      </c>
    </row>
    <row r="32" spans="2:25">
      <c r="B32" s="129" t="s">
        <v>1061</v>
      </c>
      <c r="C32" s="129"/>
      <c r="D32" s="935"/>
      <c r="E32" s="160"/>
      <c r="F32" s="129"/>
      <c r="G32" s="564">
        <v>-1.5</v>
      </c>
      <c r="H32" s="129"/>
      <c r="I32" s="129"/>
      <c r="J32" s="129"/>
      <c r="K32" s="932"/>
      <c r="L32" s="564">
        <f>+L31*'F13 B'!I382</f>
        <v>9.128274218908379E-2</v>
      </c>
      <c r="M32" s="947"/>
      <c r="N32" s="564"/>
      <c r="O32" s="564"/>
      <c r="P32" s="564">
        <f>+L32*($G$31+G32)/10</f>
        <v>2.7841236367670552E-2</v>
      </c>
      <c r="Q32" s="129"/>
      <c r="R32" s="129"/>
      <c r="S32" s="129"/>
      <c r="T32" s="129"/>
      <c r="U32" s="564"/>
      <c r="V32" s="129"/>
      <c r="W32" s="805"/>
      <c r="X32" s="564"/>
      <c r="Y32" s="129"/>
    </row>
    <row r="33" spans="2:25" ht="30">
      <c r="B33" s="948" t="s">
        <v>1062</v>
      </c>
      <c r="C33" s="129"/>
      <c r="D33" s="935"/>
      <c r="E33" s="160"/>
      <c r="F33" s="129"/>
      <c r="G33" s="564">
        <v>0</v>
      </c>
      <c r="H33" s="129"/>
      <c r="I33" s="129"/>
      <c r="J33" s="129"/>
      <c r="K33" s="932"/>
      <c r="L33" s="564">
        <f>+L31*'F13 B'!J382</f>
        <v>0.15795163606737356</v>
      </c>
      <c r="M33" s="947"/>
      <c r="N33" s="564"/>
      <c r="O33" s="564"/>
      <c r="P33" s="564">
        <f t="shared" ref="P33:P35" si="11">+L33*($G$31+G33)/10</f>
        <v>7.1867994410654973E-2</v>
      </c>
      <c r="Q33" s="129"/>
      <c r="R33" s="129"/>
      <c r="S33" s="129"/>
      <c r="T33" s="129"/>
      <c r="U33" s="564"/>
      <c r="V33" s="129"/>
      <c r="W33" s="805"/>
      <c r="X33" s="564"/>
      <c r="Y33" s="129"/>
    </row>
    <row r="34" spans="2:25">
      <c r="B34" s="129" t="s">
        <v>1063</v>
      </c>
      <c r="C34" s="129"/>
      <c r="D34" s="935"/>
      <c r="E34" s="160"/>
      <c r="F34" s="129"/>
      <c r="G34" s="564">
        <v>0.8</v>
      </c>
      <c r="H34" s="129"/>
      <c r="I34" s="129"/>
      <c r="J34" s="129"/>
      <c r="K34" s="932"/>
      <c r="L34" s="564">
        <f>+L31*'F13 B'!K382</f>
        <v>5.3165901235171016E-2</v>
      </c>
      <c r="M34" s="947"/>
      <c r="N34" s="564"/>
      <c r="O34" s="564"/>
      <c r="P34" s="564">
        <f t="shared" si="11"/>
        <v>2.8443757160816492E-2</v>
      </c>
      <c r="Q34" s="129"/>
      <c r="R34" s="129"/>
      <c r="S34" s="129"/>
      <c r="T34" s="129"/>
      <c r="U34" s="564"/>
      <c r="V34" s="129"/>
      <c r="W34" s="805"/>
      <c r="X34" s="564"/>
      <c r="Y34" s="129"/>
    </row>
    <row r="35" spans="2:25">
      <c r="B35" s="129" t="s">
        <v>1064</v>
      </c>
      <c r="C35" s="129"/>
      <c r="D35" s="935"/>
      <c r="E35" s="160"/>
      <c r="F35" s="129"/>
      <c r="G35" s="564">
        <v>1.1000000000000001</v>
      </c>
      <c r="H35" s="129"/>
      <c r="I35" s="129"/>
      <c r="J35" s="129"/>
      <c r="K35" s="932"/>
      <c r="L35" s="564">
        <f>+L31*'F13 B'!L382</f>
        <v>7.613156050837161E-2</v>
      </c>
      <c r="M35" s="947"/>
      <c r="N35" s="564"/>
      <c r="O35" s="564"/>
      <c r="P35" s="564">
        <f t="shared" si="11"/>
        <v>4.3014331687229963E-2</v>
      </c>
      <c r="Q35" s="129"/>
      <c r="R35" s="129"/>
      <c r="S35" s="129"/>
      <c r="T35" s="129"/>
      <c r="U35" s="564"/>
      <c r="V35" s="129"/>
      <c r="W35" s="805"/>
      <c r="X35" s="564"/>
      <c r="Y35" s="129"/>
    </row>
    <row r="36" spans="2:25">
      <c r="B36" s="129"/>
      <c r="C36" s="129"/>
      <c r="D36" s="935"/>
      <c r="E36" s="160"/>
      <c r="F36" s="129"/>
      <c r="G36" s="129"/>
      <c r="H36" s="129"/>
      <c r="I36" s="129"/>
      <c r="J36" s="129"/>
      <c r="K36" s="932"/>
      <c r="L36" s="564"/>
      <c r="M36" s="947"/>
      <c r="N36" s="564"/>
      <c r="O36" s="564"/>
      <c r="P36" s="564"/>
      <c r="Q36" s="129"/>
      <c r="R36" s="129"/>
      <c r="S36" s="129"/>
      <c r="T36" s="129"/>
      <c r="U36" s="564"/>
      <c r="V36" s="129"/>
      <c r="W36" s="805"/>
      <c r="X36" s="564"/>
      <c r="Y36" s="129"/>
    </row>
    <row r="37" spans="2:25" s="216" customFormat="1" ht="14.25">
      <c r="B37" s="194" t="str">
        <f>'F1'!B41</f>
        <v>LT III (A)</v>
      </c>
      <c r="C37" s="194">
        <f>'F13 B'!B98</f>
        <v>1</v>
      </c>
      <c r="D37" s="933">
        <v>190</v>
      </c>
      <c r="F37" s="194">
        <v>0.95</v>
      </c>
      <c r="G37" s="194">
        <v>4.55</v>
      </c>
      <c r="H37" s="194"/>
      <c r="I37" s="194"/>
      <c r="J37" s="194"/>
      <c r="K37" s="194"/>
      <c r="L37" s="565">
        <f>'F1'!L41</f>
        <v>6.3015919999999991E-3</v>
      </c>
      <c r="M37" s="951">
        <f>+C37*D37*12/10^7</f>
        <v>2.2800000000000001E-4</v>
      </c>
      <c r="N37" s="565">
        <f>E38*K37*12/10^7</f>
        <v>0</v>
      </c>
      <c r="O37" s="565">
        <f t="shared" si="6"/>
        <v>5.9865123999999987E-4</v>
      </c>
      <c r="P37" s="565">
        <f t="shared" si="7"/>
        <v>2.8672243599999992E-3</v>
      </c>
      <c r="Q37" s="194"/>
      <c r="R37" s="194"/>
      <c r="S37" s="565">
        <f>+Backup!F229</f>
        <v>0</v>
      </c>
      <c r="T37" s="194"/>
      <c r="U37" s="565">
        <f t="shared" ref="U37:U38" si="12">SUM(M37:T37)</f>
        <v>3.693875599999999E-3</v>
      </c>
      <c r="V37" s="194"/>
      <c r="W37" s="806">
        <f t="shared" si="1"/>
        <v>3.693875599999999E-3</v>
      </c>
      <c r="X37" s="565">
        <f t="shared" si="2"/>
        <v>5.8618133322500086</v>
      </c>
      <c r="Y37" s="1015">
        <f t="shared" ref="Y37:Y38" ca="1" si="13">+X37/$X$48</f>
        <v>0.87697886612481191</v>
      </c>
    </row>
    <row r="38" spans="2:25" s="216" customFormat="1" ht="14.25">
      <c r="B38" s="194" t="str">
        <f>'F1'!B42</f>
        <v>LT III (B)</v>
      </c>
      <c r="C38" s="194">
        <f>'F13 B'!B99</f>
        <v>29</v>
      </c>
      <c r="E38" s="194">
        <v>190</v>
      </c>
      <c r="F38" s="194">
        <v>0.95</v>
      </c>
      <c r="G38" s="194">
        <v>4.55</v>
      </c>
      <c r="H38" s="194"/>
      <c r="I38" s="194"/>
      <c r="J38" s="194"/>
      <c r="K38" s="194">
        <f>+'F13.1'!K21</f>
        <v>2708</v>
      </c>
      <c r="L38" s="565">
        <f>'F1'!L42</f>
        <v>7.1999719308000003</v>
      </c>
      <c r="M38" s="950">
        <f t="shared" si="10"/>
        <v>0</v>
      </c>
      <c r="N38" s="565">
        <f>D37*K38*12/10^7</f>
        <v>0.61742399999999997</v>
      </c>
      <c r="O38" s="565">
        <f t="shared" si="6"/>
        <v>0.683997333426</v>
      </c>
      <c r="P38" s="565">
        <f>SUM(P39:P42)</f>
        <v>3.2087169050589717</v>
      </c>
      <c r="Q38" s="194"/>
      <c r="R38" s="194"/>
      <c r="S38" s="565">
        <f>+Backup!F230</f>
        <v>-0.23649888999999999</v>
      </c>
      <c r="T38" s="565">
        <f>+'F13.1'!V21</f>
        <v>1.2884400000000001E-2</v>
      </c>
      <c r="U38" s="565">
        <f t="shared" si="12"/>
        <v>4.2865237484849716</v>
      </c>
      <c r="V38" s="194"/>
      <c r="W38" s="806">
        <f t="shared" si="1"/>
        <v>4.2865237484849716</v>
      </c>
      <c r="X38" s="565">
        <f t="shared" si="2"/>
        <v>5.9535284160596564</v>
      </c>
      <c r="Y38" s="1015">
        <f t="shared" ca="1" si="13"/>
        <v>0.89070024987536778</v>
      </c>
    </row>
    <row r="39" spans="2:25">
      <c r="B39" s="129" t="s">
        <v>1061</v>
      </c>
      <c r="C39" s="129"/>
      <c r="E39" s="129"/>
      <c r="F39" s="129"/>
      <c r="G39" s="564">
        <v>-1.5</v>
      </c>
      <c r="H39" s="129"/>
      <c r="I39" s="129"/>
      <c r="J39" s="129"/>
      <c r="K39" s="129"/>
      <c r="L39" s="564">
        <f>+L38*'F13 B'!I384</f>
        <v>1.9410814310768232</v>
      </c>
      <c r="M39" s="936"/>
      <c r="N39" s="564"/>
      <c r="O39" s="564"/>
      <c r="P39" s="564">
        <f>+L39*($G$38+G39)/10</f>
        <v>0.59202983647843099</v>
      </c>
      <c r="Q39" s="129"/>
      <c r="R39" s="129"/>
      <c r="S39" s="129"/>
      <c r="T39" s="129"/>
      <c r="U39" s="564"/>
      <c r="V39" s="129"/>
      <c r="W39" s="805"/>
      <c r="X39" s="564"/>
      <c r="Y39" s="129"/>
    </row>
    <row r="40" spans="2:25" ht="30">
      <c r="B40" s="948" t="s">
        <v>1062</v>
      </c>
      <c r="C40" s="129"/>
      <c r="E40" s="129"/>
      <c r="F40" s="129"/>
      <c r="G40" s="564">
        <v>0</v>
      </c>
      <c r="H40" s="129"/>
      <c r="I40" s="129"/>
      <c r="J40" s="129"/>
      <c r="K40" s="129"/>
      <c r="L40" s="564">
        <f>+L38*'F13 B'!J384</f>
        <v>2.9486306374266626</v>
      </c>
      <c r="M40" s="936"/>
      <c r="N40" s="564"/>
      <c r="O40" s="564"/>
      <c r="P40" s="564">
        <f t="shared" ref="P40:P42" si="14">+L40*($G$38+G40)/10</f>
        <v>1.3416269400291314</v>
      </c>
      <c r="Q40" s="129"/>
      <c r="R40" s="129"/>
      <c r="S40" s="129"/>
      <c r="T40" s="129"/>
      <c r="U40" s="564"/>
      <c r="V40" s="129"/>
      <c r="W40" s="805"/>
      <c r="X40" s="564"/>
      <c r="Y40" s="129"/>
    </row>
    <row r="41" spans="2:25">
      <c r="B41" s="129" t="s">
        <v>1063</v>
      </c>
      <c r="C41" s="129"/>
      <c r="E41" s="129"/>
      <c r="F41" s="129"/>
      <c r="G41" s="564">
        <v>0.8</v>
      </c>
      <c r="H41" s="129"/>
      <c r="I41" s="129"/>
      <c r="J41" s="129"/>
      <c r="K41" s="129"/>
      <c r="L41" s="564">
        <f>+L38*'F13 B'!K384</f>
        <v>1.0078897882040387</v>
      </c>
      <c r="M41" s="936"/>
      <c r="N41" s="564"/>
      <c r="O41" s="564"/>
      <c r="P41" s="564">
        <f t="shared" si="14"/>
        <v>0.53922103668916077</v>
      </c>
      <c r="Q41" s="129"/>
      <c r="R41" s="129"/>
      <c r="S41" s="129"/>
      <c r="T41" s="129"/>
      <c r="U41" s="564"/>
      <c r="V41" s="129"/>
      <c r="W41" s="805"/>
      <c r="X41" s="564"/>
      <c r="Y41" s="129"/>
    </row>
    <row r="42" spans="2:25">
      <c r="B42" s="129" t="s">
        <v>1064</v>
      </c>
      <c r="C42" s="129"/>
      <c r="E42" s="129"/>
      <c r="F42" s="129"/>
      <c r="G42" s="564">
        <v>1.1000000000000001</v>
      </c>
      <c r="H42" s="129"/>
      <c r="I42" s="129"/>
      <c r="J42" s="129"/>
      <c r="K42" s="129"/>
      <c r="L42" s="564">
        <f>+L38*'F13 B'!L384</f>
        <v>1.3023700740924753</v>
      </c>
      <c r="M42" s="936"/>
      <c r="N42" s="564"/>
      <c r="O42" s="564"/>
      <c r="P42" s="564">
        <f t="shared" si="14"/>
        <v>0.73583909186224861</v>
      </c>
      <c r="Q42" s="129"/>
      <c r="R42" s="129"/>
      <c r="S42" s="129"/>
      <c r="T42" s="129"/>
      <c r="U42" s="564"/>
      <c r="V42" s="129"/>
      <c r="W42" s="805"/>
      <c r="X42" s="564"/>
      <c r="Y42" s="129"/>
    </row>
    <row r="43" spans="2:25">
      <c r="B43" s="129"/>
      <c r="C43" s="129"/>
      <c r="E43" s="129"/>
      <c r="F43" s="129"/>
      <c r="G43" s="129"/>
      <c r="H43" s="129"/>
      <c r="I43" s="129"/>
      <c r="J43" s="129"/>
      <c r="K43" s="129"/>
      <c r="L43" s="564"/>
      <c r="M43" s="936"/>
      <c r="N43" s="564"/>
      <c r="O43" s="564"/>
      <c r="P43" s="564"/>
      <c r="Q43" s="129"/>
      <c r="R43" s="129"/>
      <c r="S43" s="129"/>
      <c r="T43" s="129"/>
      <c r="U43" s="564"/>
      <c r="V43" s="129"/>
      <c r="W43" s="805"/>
      <c r="X43" s="564"/>
      <c r="Y43" s="129"/>
    </row>
    <row r="44" spans="2:25" s="216" customFormat="1" ht="14.25">
      <c r="B44" s="194" t="str">
        <f>'F1'!B43</f>
        <v>Sub-total LT</v>
      </c>
      <c r="C44" s="194">
        <f>SUM(C29:C38)</f>
        <v>71</v>
      </c>
      <c r="D44" s="565"/>
      <c r="E44" s="194"/>
      <c r="F44" s="194"/>
      <c r="G44" s="194"/>
      <c r="H44" s="194"/>
      <c r="I44" s="194"/>
      <c r="J44" s="194"/>
      <c r="K44" s="194"/>
      <c r="L44" s="565">
        <f>+L38+L37+L31+L30+L29</f>
        <v>8.2228915477999998</v>
      </c>
      <c r="M44" s="565">
        <f t="shared" ref="M44:T44" si="15">+M38+M37+M31+M30+M29</f>
        <v>7.5240000000000003E-3</v>
      </c>
      <c r="N44" s="565">
        <f t="shared" si="15"/>
        <v>0.67807200000000001</v>
      </c>
      <c r="O44" s="565">
        <f t="shared" si="15"/>
        <v>0.78117469704100007</v>
      </c>
      <c r="P44" s="565">
        <f t="shared" si="15"/>
        <v>3.6730806632203437</v>
      </c>
      <c r="Q44" s="565">
        <f t="shared" si="15"/>
        <v>0</v>
      </c>
      <c r="R44" s="565">
        <f t="shared" si="15"/>
        <v>0</v>
      </c>
      <c r="S44" s="565">
        <f t="shared" si="15"/>
        <v>-0.23931767799999998</v>
      </c>
      <c r="T44" s="565">
        <f t="shared" si="15"/>
        <v>1.6762680000000002E-2</v>
      </c>
      <c r="U44" s="565">
        <f>SUM(M44:T44)</f>
        <v>4.9172963622613439</v>
      </c>
      <c r="V44" s="194"/>
      <c r="W44" s="565">
        <f>SUM(W29:W38)</f>
        <v>4.9172963622613439</v>
      </c>
      <c r="X44" s="565">
        <f t="shared" si="2"/>
        <v>5.9800087763250946</v>
      </c>
      <c r="Y44" s="1015">
        <f ca="1">+X44/$X$48</f>
        <v>0.89466194483286421</v>
      </c>
    </row>
    <row r="45" spans="2:25">
      <c r="B45" s="194"/>
      <c r="C45" s="129"/>
      <c r="D45" s="564"/>
      <c r="E45" s="129"/>
      <c r="F45" s="129"/>
      <c r="G45" s="129"/>
      <c r="H45" s="129"/>
      <c r="I45" s="129"/>
      <c r="J45" s="129"/>
      <c r="K45" s="129"/>
      <c r="L45" s="129"/>
      <c r="M45" s="129"/>
      <c r="N45" s="564"/>
      <c r="O45" s="564"/>
      <c r="P45" s="564"/>
      <c r="Q45" s="129"/>
      <c r="R45" s="129"/>
      <c r="S45" s="129"/>
      <c r="T45" s="129"/>
      <c r="U45" s="564">
        <f t="shared" si="5"/>
        <v>0</v>
      </c>
      <c r="V45" s="129"/>
      <c r="W45" s="805">
        <f t="shared" si="1"/>
        <v>0</v>
      </c>
      <c r="X45" s="129"/>
      <c r="Y45" s="129"/>
    </row>
    <row r="46" spans="2:25">
      <c r="B46" s="194" t="s">
        <v>115</v>
      </c>
      <c r="C46" s="194">
        <f>C44+C26</f>
        <v>117</v>
      </c>
      <c r="D46" s="565"/>
      <c r="E46" s="129"/>
      <c r="F46" s="129"/>
      <c r="G46" s="129"/>
      <c r="H46" s="129"/>
      <c r="I46" s="129"/>
      <c r="J46" s="129"/>
      <c r="K46" s="129"/>
      <c r="L46" s="565">
        <f t="shared" ref="L46:T46" si="16">L44+L26</f>
        <v>92.841304259400019</v>
      </c>
      <c r="M46" s="934">
        <f t="shared" si="16"/>
        <v>7.5240000000000003E-3</v>
      </c>
      <c r="N46" s="565">
        <f t="shared" si="16"/>
        <v>6.6108599999999997</v>
      </c>
      <c r="O46" s="565">
        <f t="shared" si="16"/>
        <v>8.8199239046430016</v>
      </c>
      <c r="P46" s="565">
        <f t="shared" si="16"/>
        <v>39.091751331270892</v>
      </c>
      <c r="Q46" s="194">
        <f t="shared" si="16"/>
        <v>0</v>
      </c>
      <c r="R46" s="194">
        <f t="shared" si="16"/>
        <v>0</v>
      </c>
      <c r="S46" s="565">
        <f t="shared" si="16"/>
        <v>-2.0254848379999997</v>
      </c>
      <c r="T46" s="565">
        <f t="shared" si="16"/>
        <v>6.2575290000000006E-2</v>
      </c>
      <c r="U46" s="565">
        <f>SUM(M46:T46)</f>
        <v>52.567149687913897</v>
      </c>
      <c r="V46" s="129"/>
      <c r="W46" s="565">
        <f>W44+W26</f>
        <v>52.56714968791389</v>
      </c>
      <c r="X46" s="565">
        <f t="shared" si="2"/>
        <v>5.6620434306955092</v>
      </c>
      <c r="Y46" s="1015">
        <f ca="1">+X46/$X$48</f>
        <v>0.84709153061597486</v>
      </c>
    </row>
    <row r="47" spans="2:25">
      <c r="B47" s="181"/>
      <c r="C47" s="253"/>
      <c r="D47" s="253"/>
      <c r="E47" s="253"/>
      <c r="F47" s="253"/>
      <c r="G47" s="253"/>
      <c r="H47" s="253"/>
      <c r="I47" s="253"/>
      <c r="J47" s="253"/>
      <c r="K47" s="253"/>
      <c r="L47" s="253"/>
      <c r="M47" s="253"/>
      <c r="N47" s="253"/>
      <c r="O47" s="253"/>
      <c r="P47" s="253"/>
      <c r="Q47" s="253"/>
      <c r="R47" s="253"/>
      <c r="S47" s="253"/>
      <c r="T47" s="253"/>
      <c r="U47" s="253"/>
      <c r="V47" s="253"/>
      <c r="W47" s="253"/>
    </row>
    <row r="48" spans="2:25">
      <c r="B48" s="255" t="s">
        <v>601</v>
      </c>
      <c r="C48" s="255"/>
      <c r="D48" s="255"/>
      <c r="E48" s="255"/>
      <c r="F48" s="255"/>
      <c r="G48" s="255"/>
      <c r="H48" s="255"/>
      <c r="I48" s="255"/>
      <c r="J48" s="255"/>
      <c r="K48" s="255"/>
      <c r="L48" s="255"/>
      <c r="M48" s="255"/>
      <c r="N48" s="255"/>
      <c r="O48" s="255"/>
      <c r="P48" s="255"/>
      <c r="Q48" s="255"/>
      <c r="R48" s="255"/>
      <c r="S48" s="255"/>
      <c r="T48" s="255"/>
      <c r="U48" s="255"/>
      <c r="V48" s="255"/>
      <c r="W48" s="255" t="s">
        <v>1198</v>
      </c>
      <c r="X48" s="1025">
        <f ca="1">+'ARR-Summary'!Q89</f>
        <v>6.6840987379230112</v>
      </c>
    </row>
    <row r="49" spans="2:23">
      <c r="B49" s="246" t="s">
        <v>600</v>
      </c>
      <c r="C49" s="255"/>
      <c r="D49" s="255"/>
      <c r="E49" s="255"/>
      <c r="F49" s="255"/>
      <c r="G49" s="255"/>
      <c r="H49" s="255"/>
      <c r="I49" s="255"/>
      <c r="J49" s="255"/>
      <c r="K49" s="255"/>
      <c r="L49" s="255"/>
      <c r="M49" s="255"/>
      <c r="N49" s="255"/>
      <c r="O49" s="255"/>
      <c r="P49" s="255"/>
      <c r="Q49" s="255"/>
      <c r="R49" s="255"/>
      <c r="S49" s="255"/>
      <c r="T49" s="255"/>
      <c r="U49" s="255"/>
      <c r="V49" s="255"/>
      <c r="W49" s="255"/>
    </row>
    <row r="50" spans="2:23">
      <c r="B50" s="18" t="s">
        <v>602</v>
      </c>
      <c r="C50" s="255"/>
      <c r="D50" s="255"/>
      <c r="E50" s="255"/>
      <c r="F50" s="255"/>
      <c r="G50" s="255"/>
      <c r="H50" s="255"/>
      <c r="I50" s="255"/>
      <c r="J50" s="255"/>
      <c r="K50" s="255"/>
      <c r="L50" s="255"/>
      <c r="M50" s="255"/>
      <c r="N50" s="255"/>
      <c r="O50" s="255"/>
      <c r="P50" s="255"/>
      <c r="Q50" s="255"/>
      <c r="R50" s="255"/>
      <c r="S50" s="255"/>
      <c r="T50" s="255"/>
      <c r="U50" s="255"/>
      <c r="V50" s="255"/>
      <c r="W50" s="255"/>
    </row>
  </sheetData>
  <mergeCells count="9">
    <mergeCell ref="X10:X11"/>
    <mergeCell ref="Y10:Y11"/>
    <mergeCell ref="V10:V11"/>
    <mergeCell ref="W10:W11"/>
    <mergeCell ref="B10:B11"/>
    <mergeCell ref="C10:C11"/>
    <mergeCell ref="D10:I10"/>
    <mergeCell ref="J10:L10"/>
    <mergeCell ref="M10:U10"/>
  </mergeCells>
  <pageMargins left="0.70866141732283505" right="0.70866141732283505" top="0.74803149606299202" bottom="0.74803149606299202" header="0.31496062992126" footer="0.31496062992126"/>
  <pageSetup scale="41"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C000"/>
    <pageSetUpPr fitToPage="1"/>
  </sheetPr>
  <dimension ref="B2:Y50"/>
  <sheetViews>
    <sheetView showGridLines="0" view="pageBreakPreview" topLeftCell="D1" zoomScale="70" zoomScaleNormal="80" zoomScaleSheetLayoutView="70" workbookViewId="0">
      <selection activeCell="C11" sqref="C11:C12"/>
    </sheetView>
  </sheetViews>
  <sheetFormatPr defaultColWidth="8.85546875" defaultRowHeight="15"/>
  <cols>
    <col min="1" max="1" width="8.85546875" style="1"/>
    <col min="2" max="2" width="20.85546875" style="1" customWidth="1"/>
    <col min="3" max="3" width="14" style="1" customWidth="1"/>
    <col min="4" max="23" width="11.5703125" style="1" customWidth="1"/>
    <col min="24" max="24" width="10.42578125" style="1" customWidth="1"/>
    <col min="25" max="25" width="13.85546875" style="1" customWidth="1"/>
    <col min="26" max="26" width="12.42578125" style="1" customWidth="1"/>
    <col min="27" max="16384" width="8.85546875" style="1"/>
  </cols>
  <sheetData>
    <row r="2" spans="2:25">
      <c r="C2" s="183"/>
      <c r="D2" s="183"/>
      <c r="E2" s="183"/>
      <c r="F2" s="375"/>
      <c r="G2" s="183"/>
      <c r="H2" s="183"/>
      <c r="J2" s="375" t="s">
        <v>906</v>
      </c>
      <c r="K2" s="183"/>
      <c r="L2" s="183"/>
      <c r="M2" s="183"/>
      <c r="N2" s="183"/>
      <c r="O2" s="375"/>
      <c r="P2" s="183"/>
    </row>
    <row r="3" spans="2:25">
      <c r="C3" s="189"/>
      <c r="D3" s="189"/>
      <c r="E3" s="189"/>
      <c r="F3" s="189"/>
      <c r="G3" s="189"/>
      <c r="H3" s="189"/>
      <c r="J3" s="373" t="s">
        <v>722</v>
      </c>
      <c r="K3" s="189"/>
      <c r="L3" s="189"/>
      <c r="M3" s="189"/>
      <c r="N3" s="189"/>
      <c r="O3" s="189"/>
      <c r="P3" s="189"/>
    </row>
    <row r="4" spans="2:25">
      <c r="C4" s="189"/>
      <c r="D4" s="189"/>
      <c r="E4" s="189"/>
      <c r="F4" s="189"/>
      <c r="G4" s="189"/>
      <c r="H4" s="189"/>
      <c r="J4" s="189" t="s">
        <v>702</v>
      </c>
      <c r="K4" s="189"/>
      <c r="L4" s="189"/>
      <c r="M4" s="189"/>
      <c r="N4" s="189"/>
      <c r="O4" s="189"/>
      <c r="P4" s="189"/>
    </row>
    <row r="5" spans="2:25">
      <c r="B5" s="189"/>
      <c r="C5" s="189"/>
      <c r="D5" s="189"/>
      <c r="E5" s="189"/>
      <c r="F5" s="189"/>
      <c r="G5" s="189"/>
      <c r="H5" s="189"/>
      <c r="I5" s="189"/>
      <c r="J5" s="189"/>
      <c r="K5" s="189"/>
      <c r="L5" s="189"/>
      <c r="M5" s="189"/>
      <c r="N5" s="189"/>
      <c r="O5" s="189"/>
      <c r="P5" s="189"/>
    </row>
    <row r="6" spans="2:25">
      <c r="B6" s="189"/>
      <c r="C6" s="189"/>
      <c r="D6" s="189"/>
      <c r="E6" s="189"/>
      <c r="F6" s="189"/>
      <c r="G6" s="189"/>
      <c r="H6" s="189"/>
      <c r="I6" s="189"/>
      <c r="J6" s="189"/>
      <c r="K6" s="189"/>
      <c r="L6" s="189"/>
      <c r="M6" s="189"/>
      <c r="N6" s="189"/>
      <c r="O6" s="189"/>
      <c r="P6" s="189"/>
    </row>
    <row r="7" spans="2:25">
      <c r="B7" s="252" t="s">
        <v>390</v>
      </c>
      <c r="C7" s="253"/>
      <c r="D7" s="253"/>
      <c r="E7" s="253"/>
      <c r="F7" s="253"/>
      <c r="G7" s="253"/>
      <c r="H7" s="253"/>
      <c r="I7" s="253"/>
      <c r="J7" s="253"/>
      <c r="K7" s="253"/>
      <c r="L7" s="253"/>
      <c r="M7" s="253"/>
      <c r="N7" s="253"/>
      <c r="O7" s="253"/>
      <c r="P7" s="253"/>
      <c r="Q7" s="253"/>
      <c r="R7" s="253"/>
      <c r="S7" s="253"/>
      <c r="T7" s="253"/>
      <c r="U7" s="253"/>
      <c r="V7" s="253"/>
      <c r="W7" s="253"/>
    </row>
    <row r="8" spans="2:25">
      <c r="B8" s="252" t="s">
        <v>375</v>
      </c>
      <c r="C8" s="253"/>
      <c r="D8" s="253"/>
      <c r="E8" s="253"/>
      <c r="F8" s="253"/>
      <c r="G8" s="253"/>
      <c r="H8" s="253"/>
      <c r="I8" s="253"/>
      <c r="J8" s="253"/>
      <c r="K8" s="253"/>
      <c r="L8" s="253"/>
      <c r="M8" s="253"/>
      <c r="N8" s="253"/>
      <c r="O8" s="253"/>
      <c r="P8" s="253"/>
      <c r="Q8" s="253"/>
      <c r="R8" s="253"/>
      <c r="S8" s="253"/>
      <c r="T8" s="253"/>
      <c r="U8" s="253"/>
      <c r="V8" s="253"/>
      <c r="W8" s="253"/>
    </row>
    <row r="9" spans="2:25">
      <c r="B9" s="253"/>
      <c r="C9" s="253"/>
      <c r="D9" s="253"/>
      <c r="E9" s="253"/>
      <c r="F9" s="253"/>
      <c r="G9" s="253"/>
      <c r="H9" s="253"/>
      <c r="I9" s="253"/>
      <c r="J9" s="253"/>
      <c r="K9" s="253"/>
      <c r="L9" s="253"/>
      <c r="M9" s="253"/>
      <c r="N9" s="253"/>
      <c r="O9" s="253"/>
      <c r="P9" s="253"/>
      <c r="Q9" s="253"/>
      <c r="R9" s="253"/>
      <c r="S9" s="253"/>
      <c r="T9" s="253"/>
      <c r="U9" s="253"/>
      <c r="V9" s="253"/>
      <c r="W9" s="253"/>
    </row>
    <row r="10" spans="2:25" ht="13.9" customHeight="1">
      <c r="B10" s="1521"/>
      <c r="C10" s="1517" t="s">
        <v>368</v>
      </c>
      <c r="D10" s="1519" t="s">
        <v>376</v>
      </c>
      <c r="E10" s="1519"/>
      <c r="F10" s="1519"/>
      <c r="G10" s="1519"/>
      <c r="H10" s="1519"/>
      <c r="I10" s="1519"/>
      <c r="J10" s="1517" t="s">
        <v>377</v>
      </c>
      <c r="K10" s="1517"/>
      <c r="L10" s="1517"/>
      <c r="M10" s="1520" t="s">
        <v>378</v>
      </c>
      <c r="N10" s="1520"/>
      <c r="O10" s="1520"/>
      <c r="P10" s="1520"/>
      <c r="Q10" s="1520"/>
      <c r="R10" s="1520"/>
      <c r="S10" s="1520"/>
      <c r="T10" s="1520"/>
      <c r="U10" s="1520"/>
      <c r="V10" s="1517" t="s">
        <v>372</v>
      </c>
      <c r="W10" s="1517" t="s">
        <v>379</v>
      </c>
      <c r="X10" s="1517" t="s">
        <v>380</v>
      </c>
      <c r="Y10" s="1517" t="s">
        <v>479</v>
      </c>
    </row>
    <row r="11" spans="2:25" ht="57">
      <c r="B11" s="1521"/>
      <c r="C11" s="1517"/>
      <c r="D11" s="911" t="s">
        <v>1092</v>
      </c>
      <c r="E11" s="911" t="s">
        <v>1089</v>
      </c>
      <c r="F11" s="911" t="s">
        <v>1091</v>
      </c>
      <c r="G11" s="911" t="s">
        <v>1090</v>
      </c>
      <c r="H11" s="320" t="s">
        <v>603</v>
      </c>
      <c r="I11" s="320" t="s">
        <v>381</v>
      </c>
      <c r="J11" s="320" t="s">
        <v>478</v>
      </c>
      <c r="K11" s="320" t="s">
        <v>382</v>
      </c>
      <c r="L11" s="320" t="s">
        <v>369</v>
      </c>
      <c r="M11" s="320" t="s">
        <v>383</v>
      </c>
      <c r="N11" s="320" t="s">
        <v>384</v>
      </c>
      <c r="O11" s="911" t="s">
        <v>1093</v>
      </c>
      <c r="P11" s="320" t="s">
        <v>385</v>
      </c>
      <c r="Q11" s="320" t="s">
        <v>604</v>
      </c>
      <c r="R11" s="320" t="s">
        <v>386</v>
      </c>
      <c r="S11" s="339" t="s">
        <v>1108</v>
      </c>
      <c r="T11" s="339" t="s">
        <v>840</v>
      </c>
      <c r="U11" s="319" t="s">
        <v>115</v>
      </c>
      <c r="V11" s="1517"/>
      <c r="W11" s="1517"/>
      <c r="X11" s="1517"/>
      <c r="Y11" s="1517"/>
    </row>
    <row r="12" spans="2:25">
      <c r="B12" s="193"/>
      <c r="C12" s="254"/>
      <c r="D12" s="134"/>
      <c r="E12" s="134"/>
      <c r="F12" s="134"/>
      <c r="G12" s="134"/>
      <c r="H12" s="134"/>
      <c r="I12" s="134"/>
      <c r="J12" s="134"/>
      <c r="K12" s="134"/>
      <c r="L12" s="134"/>
      <c r="M12" s="134"/>
      <c r="N12" s="134"/>
      <c r="O12" s="134"/>
      <c r="P12" s="134"/>
      <c r="Q12" s="134"/>
      <c r="R12" s="134"/>
      <c r="S12" s="134"/>
      <c r="T12" s="134"/>
      <c r="U12" s="135"/>
      <c r="V12" s="254"/>
      <c r="W12" s="254"/>
      <c r="X12" s="254"/>
      <c r="Y12" s="254"/>
    </row>
    <row r="13" spans="2:25">
      <c r="B13" s="194" t="str">
        <f>'F1'!B32</f>
        <v>HT Category</v>
      </c>
      <c r="C13" s="129"/>
      <c r="D13" s="129"/>
      <c r="E13" s="129"/>
      <c r="F13" s="129"/>
      <c r="G13" s="129"/>
      <c r="H13" s="129"/>
      <c r="I13" s="129"/>
      <c r="J13" s="129"/>
      <c r="K13" s="129"/>
      <c r="L13" s="129"/>
      <c r="M13" s="129"/>
      <c r="N13" s="129"/>
      <c r="O13" s="129"/>
      <c r="P13" s="129"/>
      <c r="Q13" s="129"/>
      <c r="R13" s="129"/>
      <c r="S13" s="129"/>
      <c r="T13" s="129"/>
      <c r="U13" s="129"/>
      <c r="V13" s="129"/>
      <c r="W13" s="129"/>
      <c r="X13" s="129"/>
      <c r="Y13" s="129"/>
    </row>
    <row r="14" spans="2:25" s="216" customFormat="1">
      <c r="B14" s="194" t="str">
        <f>'F1'!B33</f>
        <v>HT I</v>
      </c>
      <c r="C14" s="194">
        <f>Backup!O63</f>
        <v>45</v>
      </c>
      <c r="D14" s="194"/>
      <c r="E14" s="194">
        <v>190</v>
      </c>
      <c r="F14" s="194">
        <v>0.95</v>
      </c>
      <c r="G14" s="194">
        <v>4.34</v>
      </c>
      <c r="H14" s="194"/>
      <c r="I14" s="194"/>
      <c r="J14" s="194"/>
      <c r="K14" s="949">
        <f>+'F13.2'!K14</f>
        <v>25021</v>
      </c>
      <c r="L14" s="565">
        <f>'F1'!N33</f>
        <v>80.414596838715994</v>
      </c>
      <c r="M14" s="194"/>
      <c r="N14" s="565">
        <f>E14*K14*12/10^7</f>
        <v>5.7047879999999997</v>
      </c>
      <c r="O14" s="565">
        <f>+F14*L14/10</f>
        <v>7.6393866996780186</v>
      </c>
      <c r="P14" s="565">
        <f>SUM(P15:P18)</f>
        <v>34.231487737528667</v>
      </c>
      <c r="Q14" s="194"/>
      <c r="R14" s="129"/>
      <c r="S14" s="565">
        <f>+'F13.2'!S14</f>
        <v>-1.7861671599999998</v>
      </c>
      <c r="T14" s="565">
        <f>+'F13.2'!T14</f>
        <v>4.5812609999999997E-2</v>
      </c>
      <c r="U14" s="565">
        <f>SUM(M14:T14)</f>
        <v>45.835307887206689</v>
      </c>
      <c r="V14" s="194"/>
      <c r="W14" s="806">
        <f>U14+V14</f>
        <v>45.835307887206689</v>
      </c>
      <c r="X14" s="565">
        <f>W14/L14*10</f>
        <v>5.6998741135439062</v>
      </c>
      <c r="Y14" s="1015">
        <f>+X14/$X$48</f>
        <v>0.7811695653907309</v>
      </c>
    </row>
    <row r="15" spans="2:25">
      <c r="B15" s="129" t="s">
        <v>1061</v>
      </c>
      <c r="C15" s="129"/>
      <c r="D15" s="129"/>
      <c r="E15" s="129"/>
      <c r="F15" s="129"/>
      <c r="G15" s="564">
        <v>-1.5</v>
      </c>
      <c r="H15" s="129"/>
      <c r="I15" s="129"/>
      <c r="J15" s="129"/>
      <c r="K15" s="932"/>
      <c r="L15" s="564">
        <f>+L14*'F13 B'!I377</f>
        <v>21.364050224605293</v>
      </c>
      <c r="M15" s="129"/>
      <c r="N15" s="564"/>
      <c r="O15" s="564"/>
      <c r="P15" s="564">
        <f>+L15*($G$14+G15)/10</f>
        <v>6.0673902637879031</v>
      </c>
      <c r="Q15" s="129"/>
      <c r="R15" s="129"/>
      <c r="S15" s="129"/>
      <c r="T15" s="129"/>
      <c r="U15" s="564"/>
      <c r="V15" s="129"/>
      <c r="W15" s="805"/>
      <c r="X15" s="564"/>
      <c r="Y15" s="129"/>
    </row>
    <row r="16" spans="2:25" ht="30">
      <c r="B16" s="948" t="s">
        <v>1062</v>
      </c>
      <c r="C16" s="129"/>
      <c r="D16" s="129"/>
      <c r="E16" s="129"/>
      <c r="F16" s="129"/>
      <c r="G16" s="564">
        <v>0</v>
      </c>
      <c r="H16" s="129"/>
      <c r="I16" s="129"/>
      <c r="J16" s="129"/>
      <c r="K16" s="932"/>
      <c r="L16" s="564">
        <f>+L14*'F13 B'!J377</f>
        <v>32.900453498330478</v>
      </c>
      <c r="M16" s="129"/>
      <c r="N16" s="564"/>
      <c r="O16" s="564"/>
      <c r="P16" s="564">
        <f t="shared" ref="P16:P18" si="0">+L16*($G$14+G16)/10</f>
        <v>14.278796818275428</v>
      </c>
      <c r="Q16" s="129"/>
      <c r="R16" s="129"/>
      <c r="S16" s="129"/>
      <c r="T16" s="129"/>
      <c r="U16" s="564"/>
      <c r="V16" s="129"/>
      <c r="W16" s="805"/>
      <c r="X16" s="564"/>
      <c r="Y16" s="129"/>
    </row>
    <row r="17" spans="2:25">
      <c r="B17" s="129" t="s">
        <v>1063</v>
      </c>
      <c r="C17" s="129"/>
      <c r="D17" s="129"/>
      <c r="E17" s="129"/>
      <c r="F17" s="129"/>
      <c r="G17" s="564">
        <v>0.8</v>
      </c>
      <c r="H17" s="105"/>
      <c r="I17" s="105"/>
      <c r="J17" s="105"/>
      <c r="K17" s="1197"/>
      <c r="L17" s="560">
        <f>+L14*'F13 B'!K377</f>
        <v>11.344999983970068</v>
      </c>
      <c r="M17" s="105"/>
      <c r="N17" s="560"/>
      <c r="O17" s="560"/>
      <c r="P17" s="560">
        <f t="shared" si="0"/>
        <v>5.8313299917606143</v>
      </c>
      <c r="Q17" s="105"/>
      <c r="R17" s="105"/>
      <c r="S17" s="105"/>
      <c r="T17" s="105"/>
      <c r="U17" s="560"/>
      <c r="V17" s="105"/>
      <c r="W17" s="1148"/>
      <c r="X17" s="560"/>
      <c r="Y17" s="129"/>
    </row>
    <row r="18" spans="2:25">
      <c r="B18" s="129" t="s">
        <v>1064</v>
      </c>
      <c r="C18" s="129"/>
      <c r="D18" s="129"/>
      <c r="E18" s="129"/>
      <c r="F18" s="129"/>
      <c r="G18" s="564">
        <v>1.1000000000000001</v>
      </c>
      <c r="H18" s="105"/>
      <c r="I18" s="105"/>
      <c r="J18" s="105"/>
      <c r="K18" s="1197"/>
      <c r="L18" s="560">
        <f>+'F13 B'!L377*L14</f>
        <v>14.805093131810153</v>
      </c>
      <c r="M18" s="105"/>
      <c r="N18" s="560"/>
      <c r="O18" s="560"/>
      <c r="P18" s="560">
        <f t="shared" si="0"/>
        <v>8.0539706637047228</v>
      </c>
      <c r="Q18" s="105"/>
      <c r="R18" s="105"/>
      <c r="S18" s="105"/>
      <c r="T18" s="105"/>
      <c r="U18" s="560"/>
      <c r="V18" s="105"/>
      <c r="W18" s="1148"/>
      <c r="X18" s="560"/>
      <c r="Y18" s="129"/>
    </row>
    <row r="19" spans="2:25">
      <c r="B19" s="129"/>
      <c r="C19" s="129"/>
      <c r="D19" s="129"/>
      <c r="E19" s="129"/>
      <c r="F19" s="129"/>
      <c r="G19" s="129"/>
      <c r="H19" s="105"/>
      <c r="I19" s="105"/>
      <c r="J19" s="105"/>
      <c r="K19" s="1197"/>
      <c r="L19" s="560"/>
      <c r="M19" s="105"/>
      <c r="N19" s="560"/>
      <c r="O19" s="560"/>
      <c r="P19" s="560"/>
      <c r="Q19" s="105"/>
      <c r="R19" s="105"/>
      <c r="S19" s="105"/>
      <c r="T19" s="105"/>
      <c r="U19" s="560"/>
      <c r="V19" s="105"/>
      <c r="W19" s="1148"/>
      <c r="X19" s="560"/>
      <c r="Y19" s="129"/>
    </row>
    <row r="20" spans="2:25" s="216" customFormat="1" ht="14.25">
      <c r="B20" s="194" t="str">
        <f>'F1'!B34</f>
        <v>HT II</v>
      </c>
      <c r="C20" s="194">
        <f>Backup!O64</f>
        <v>1</v>
      </c>
      <c r="D20" s="194"/>
      <c r="E20" s="194">
        <v>190</v>
      </c>
      <c r="F20" s="194">
        <v>0.95</v>
      </c>
      <c r="G20" s="194">
        <v>4.75</v>
      </c>
      <c r="H20" s="248"/>
      <c r="I20" s="248"/>
      <c r="J20" s="248"/>
      <c r="K20" s="1195">
        <f>+'F13.2'!K20</f>
        <v>1000</v>
      </c>
      <c r="L20" s="845">
        <f>'F1'!N34</f>
        <v>6</v>
      </c>
      <c r="M20" s="248"/>
      <c r="N20" s="845">
        <f>E20*K20*12/10^7</f>
        <v>0.22800000000000001</v>
      </c>
      <c r="O20" s="845">
        <f>+F20*L20/10</f>
        <v>0.56999999999999995</v>
      </c>
      <c r="P20" s="845">
        <f>SUM(P21:P24)</f>
        <v>2.8001249288000722</v>
      </c>
      <c r="Q20" s="248"/>
      <c r="R20" s="248"/>
      <c r="S20" s="248">
        <f>+'F13.2'!S20</f>
        <v>0</v>
      </c>
      <c r="T20" s="248">
        <f>+'F13.2'!T20</f>
        <v>0</v>
      </c>
      <c r="U20" s="845">
        <f>SUM(M20:T20)</f>
        <v>3.5981249288000723</v>
      </c>
      <c r="V20" s="248"/>
      <c r="W20" s="1087">
        <f t="shared" ref="W20:W46" si="1">U20+V20</f>
        <v>3.5981249288000723</v>
      </c>
      <c r="X20" s="845">
        <f t="shared" ref="X20:X26" si="2">W20/L20*10</f>
        <v>5.9968748813334543</v>
      </c>
      <c r="Y20" s="1015">
        <f>+X20/$X$48</f>
        <v>0.82187361535274372</v>
      </c>
    </row>
    <row r="21" spans="2:25">
      <c r="B21" s="129" t="s">
        <v>1061</v>
      </c>
      <c r="C21" s="129"/>
      <c r="D21" s="129"/>
      <c r="E21" s="129"/>
      <c r="F21" s="129"/>
      <c r="G21" s="564">
        <v>-1.5</v>
      </c>
      <c r="H21" s="105"/>
      <c r="I21" s="105"/>
      <c r="J21" s="105"/>
      <c r="K21" s="1197"/>
      <c r="L21" s="560">
        <f>+L20*'F13 B'!I377</f>
        <v>1.5940427035246518</v>
      </c>
      <c r="M21" s="105"/>
      <c r="N21" s="560"/>
      <c r="O21" s="560"/>
      <c r="P21" s="560">
        <f>+L21*($G$20+G21)/10</f>
        <v>0.51806387864551184</v>
      </c>
      <c r="Q21" s="105"/>
      <c r="R21" s="105"/>
      <c r="S21" s="105"/>
      <c r="T21" s="105"/>
      <c r="U21" s="560"/>
      <c r="V21" s="105"/>
      <c r="W21" s="1148"/>
      <c r="X21" s="560"/>
      <c r="Y21" s="129"/>
    </row>
    <row r="22" spans="2:25" ht="30">
      <c r="B22" s="948" t="s">
        <v>1062</v>
      </c>
      <c r="C22" s="129"/>
      <c r="D22" s="129"/>
      <c r="E22" s="129"/>
      <c r="F22" s="129"/>
      <c r="G22" s="564">
        <v>0</v>
      </c>
      <c r="H22" s="105"/>
      <c r="I22" s="105"/>
      <c r="J22" s="105"/>
      <c r="K22" s="1197"/>
      <c r="L22" s="560">
        <f>+L20*'F13 B'!J377</f>
        <v>2.4548120459511198</v>
      </c>
      <c r="M22" s="105"/>
      <c r="N22" s="560"/>
      <c r="O22" s="560"/>
      <c r="P22" s="560">
        <f t="shared" ref="P22:P24" si="3">+L22*($G$20+G22)/10</f>
        <v>1.1660357218267818</v>
      </c>
      <c r="Q22" s="105"/>
      <c r="R22" s="105"/>
      <c r="S22" s="105"/>
      <c r="T22" s="105"/>
      <c r="U22" s="560"/>
      <c r="V22" s="105"/>
      <c r="W22" s="1148"/>
      <c r="X22" s="560"/>
      <c r="Y22" s="129"/>
    </row>
    <row r="23" spans="2:25">
      <c r="B23" s="129" t="s">
        <v>1063</v>
      </c>
      <c r="C23" s="129"/>
      <c r="D23" s="129"/>
      <c r="E23" s="129"/>
      <c r="F23" s="129"/>
      <c r="G23" s="564">
        <v>0.8</v>
      </c>
      <c r="H23" s="105"/>
      <c r="I23" s="105"/>
      <c r="J23" s="105"/>
      <c r="K23" s="1197"/>
      <c r="L23" s="560">
        <f>+L20*'F13 B'!K377</f>
        <v>0.84648810762982984</v>
      </c>
      <c r="M23" s="105"/>
      <c r="N23" s="560"/>
      <c r="O23" s="560"/>
      <c r="P23" s="560">
        <f t="shared" si="3"/>
        <v>0.46980089973455552</v>
      </c>
      <c r="Q23" s="105"/>
      <c r="R23" s="105"/>
      <c r="S23" s="105"/>
      <c r="T23" s="105"/>
      <c r="U23" s="560"/>
      <c r="V23" s="105"/>
      <c r="W23" s="1148"/>
      <c r="X23" s="560"/>
      <c r="Y23" s="129"/>
    </row>
    <row r="24" spans="2:25">
      <c r="B24" s="129" t="s">
        <v>1064</v>
      </c>
      <c r="C24" s="129"/>
      <c r="D24" s="129"/>
      <c r="E24" s="129"/>
      <c r="F24" s="129"/>
      <c r="G24" s="564">
        <v>1.1000000000000001</v>
      </c>
      <c r="H24" s="105"/>
      <c r="I24" s="105"/>
      <c r="J24" s="105"/>
      <c r="K24" s="1197"/>
      <c r="L24" s="560">
        <f>+L20*'F13 B'!L377</f>
        <v>1.1046571428943981</v>
      </c>
      <c r="M24" s="105"/>
      <c r="N24" s="560"/>
      <c r="O24" s="560"/>
      <c r="P24" s="560">
        <f t="shared" si="3"/>
        <v>0.64622442859322282</v>
      </c>
      <c r="Q24" s="105"/>
      <c r="R24" s="105"/>
      <c r="S24" s="105"/>
      <c r="T24" s="105"/>
      <c r="U24" s="560"/>
      <c r="V24" s="105"/>
      <c r="W24" s="1148"/>
      <c r="X24" s="560"/>
      <c r="Y24" s="129"/>
    </row>
    <row r="25" spans="2:25">
      <c r="B25" s="129"/>
      <c r="C25" s="129"/>
      <c r="D25" s="129"/>
      <c r="E25" s="129"/>
      <c r="F25" s="129"/>
      <c r="G25" s="129"/>
      <c r="H25" s="105"/>
      <c r="I25" s="105"/>
      <c r="J25" s="105"/>
      <c r="K25" s="1197"/>
      <c r="L25" s="560"/>
      <c r="M25" s="105"/>
      <c r="N25" s="560"/>
      <c r="O25" s="560"/>
      <c r="P25" s="560"/>
      <c r="Q25" s="105"/>
      <c r="R25" s="105"/>
      <c r="S25" s="105"/>
      <c r="T25" s="105"/>
      <c r="U25" s="560"/>
      <c r="V25" s="105"/>
      <c r="W25" s="1148"/>
      <c r="X25" s="560"/>
      <c r="Y25" s="129"/>
    </row>
    <row r="26" spans="2:25">
      <c r="B26" s="194" t="str">
        <f>'F1'!B35</f>
        <v>Sub-total HT</v>
      </c>
      <c r="C26" s="194">
        <f>+C14+C20</f>
        <v>46</v>
      </c>
      <c r="D26" s="129"/>
      <c r="E26" s="129"/>
      <c r="F26" s="129"/>
      <c r="G26" s="129"/>
      <c r="H26" s="105"/>
      <c r="I26" s="105"/>
      <c r="J26" s="105"/>
      <c r="K26" s="105"/>
      <c r="L26" s="551">
        <f>+L14+L20</f>
        <v>86.414596838715994</v>
      </c>
      <c r="M26" s="551">
        <f t="shared" ref="M26:U26" si="4">+M14+M20</f>
        <v>0</v>
      </c>
      <c r="N26" s="551">
        <f t="shared" si="4"/>
        <v>5.9327879999999995</v>
      </c>
      <c r="O26" s="551">
        <f t="shared" si="4"/>
        <v>8.2093866996780189</v>
      </c>
      <c r="P26" s="551">
        <f t="shared" si="4"/>
        <v>37.031612666328741</v>
      </c>
      <c r="Q26" s="551">
        <f t="shared" si="4"/>
        <v>0</v>
      </c>
      <c r="R26" s="551">
        <f t="shared" si="4"/>
        <v>0</v>
      </c>
      <c r="S26" s="845">
        <f t="shared" si="4"/>
        <v>-1.7861671599999998</v>
      </c>
      <c r="T26" s="551">
        <f t="shared" si="4"/>
        <v>4.5812609999999997E-2</v>
      </c>
      <c r="U26" s="551">
        <f t="shared" si="4"/>
        <v>49.433432816006764</v>
      </c>
      <c r="V26" s="248"/>
      <c r="W26" s="1087">
        <f t="shared" si="1"/>
        <v>49.433432816006764</v>
      </c>
      <c r="X26" s="845">
        <f t="shared" si="2"/>
        <v>5.7204956829537963</v>
      </c>
      <c r="Y26" s="1015">
        <f>+X26/$X$48</f>
        <v>0.7839957580561655</v>
      </c>
    </row>
    <row r="27" spans="2:25">
      <c r="B27" s="194"/>
      <c r="C27" s="129"/>
      <c r="D27" s="129"/>
      <c r="E27" s="129"/>
      <c r="F27" s="129"/>
      <c r="G27" s="129"/>
      <c r="H27" s="105"/>
      <c r="I27" s="105"/>
      <c r="J27" s="105"/>
      <c r="K27" s="105"/>
      <c r="L27" s="560"/>
      <c r="M27" s="105"/>
      <c r="N27" s="560"/>
      <c r="O27" s="560"/>
      <c r="P27" s="560"/>
      <c r="Q27" s="105"/>
      <c r="R27" s="105"/>
      <c r="S27" s="105"/>
      <c r="T27" s="105"/>
      <c r="U27" s="560"/>
      <c r="V27" s="105"/>
      <c r="W27" s="1148">
        <f t="shared" si="1"/>
        <v>0</v>
      </c>
      <c r="X27" s="560"/>
      <c r="Y27" s="129"/>
    </row>
    <row r="28" spans="2:25">
      <c r="B28" s="194" t="str">
        <f>'F1'!B37</f>
        <v>LT Category</v>
      </c>
      <c r="C28" s="129"/>
      <c r="D28" s="129"/>
      <c r="E28" s="129"/>
      <c r="F28" s="129"/>
      <c r="G28" s="129"/>
      <c r="H28" s="105"/>
      <c r="I28" s="105"/>
      <c r="J28" s="105"/>
      <c r="K28" s="105"/>
      <c r="L28" s="560"/>
      <c r="M28" s="105"/>
      <c r="N28" s="560"/>
      <c r="O28" s="560"/>
      <c r="P28" s="560"/>
      <c r="Q28" s="105"/>
      <c r="R28" s="105"/>
      <c r="S28" s="105"/>
      <c r="T28" s="105"/>
      <c r="U28" s="560"/>
      <c r="V28" s="105"/>
      <c r="W28" s="1148">
        <f t="shared" si="1"/>
        <v>0</v>
      </c>
      <c r="X28" s="560"/>
      <c r="Y28" s="129"/>
    </row>
    <row r="29" spans="2:25" s="216" customFormat="1" ht="14.25">
      <c r="B29" s="194" t="str">
        <f>'F1'!B38</f>
        <v>LT I (G-P)</v>
      </c>
      <c r="C29" s="194">
        <f>Backup!O66</f>
        <v>0</v>
      </c>
      <c r="D29" s="194">
        <v>190</v>
      </c>
      <c r="E29" s="194"/>
      <c r="F29" s="194">
        <v>0.95</v>
      </c>
      <c r="G29" s="194">
        <v>4.46</v>
      </c>
      <c r="H29" s="194"/>
      <c r="I29" s="194"/>
      <c r="J29" s="952"/>
      <c r="K29" s="949"/>
      <c r="L29" s="565">
        <f>'F1'!N38</f>
        <v>0</v>
      </c>
      <c r="M29" s="950">
        <f>+C29*D29*12/10^7</f>
        <v>0</v>
      </c>
      <c r="N29" s="565">
        <f>D29*K29*12/10^7</f>
        <v>0</v>
      </c>
      <c r="O29" s="565">
        <f t="shared" ref="O29:O38" si="5">+F29*L29/10</f>
        <v>0</v>
      </c>
      <c r="P29" s="565">
        <f>G29*L29/10</f>
        <v>0</v>
      </c>
      <c r="Q29" s="194"/>
      <c r="R29" s="194"/>
      <c r="S29" s="194"/>
      <c r="T29" s="194"/>
      <c r="U29" s="565">
        <f t="shared" ref="U29:U38" si="6">SUM(M29:T29)</f>
        <v>0</v>
      </c>
      <c r="V29" s="194"/>
      <c r="W29" s="806">
        <f t="shared" si="1"/>
        <v>0</v>
      </c>
      <c r="X29" s="565"/>
      <c r="Y29" s="1015">
        <f t="shared" ref="Y29:Y31" si="7">+X29/$X$48</f>
        <v>0</v>
      </c>
    </row>
    <row r="30" spans="2:25" s="216" customFormat="1" ht="14.25">
      <c r="B30" s="194" t="str">
        <f>'F1'!B39</f>
        <v>LT II (A)</v>
      </c>
      <c r="C30" s="194">
        <f>Backup!O67</f>
        <v>32</v>
      </c>
      <c r="D30" s="194">
        <v>190</v>
      </c>
      <c r="E30" s="194"/>
      <c r="F30" s="194">
        <v>0.95</v>
      </c>
      <c r="G30" s="194">
        <v>4.58</v>
      </c>
      <c r="H30" s="194"/>
      <c r="I30" s="194"/>
      <c r="J30" s="952"/>
      <c r="K30" s="949"/>
      <c r="L30" s="565">
        <f>'F1'!N39</f>
        <v>0.64446704685</v>
      </c>
      <c r="M30" s="566">
        <f t="shared" ref="M30:M38" si="8">+C30*D30*12/10^7</f>
        <v>7.2960000000000004E-3</v>
      </c>
      <c r="N30" s="565">
        <f>D30*K30*12/10^7</f>
        <v>0</v>
      </c>
      <c r="O30" s="565">
        <f t="shared" si="5"/>
        <v>6.1224369450749994E-2</v>
      </c>
      <c r="P30" s="565">
        <f t="shared" ref="P30:P37" si="9">G30*L30/10</f>
        <v>0.29516590745729998</v>
      </c>
      <c r="Q30" s="194"/>
      <c r="R30" s="194"/>
      <c r="S30" s="194"/>
      <c r="T30" s="194"/>
      <c r="U30" s="565">
        <f t="shared" si="6"/>
        <v>0.36368627690805</v>
      </c>
      <c r="V30" s="194"/>
      <c r="W30" s="806">
        <f t="shared" si="1"/>
        <v>0.36368627690805</v>
      </c>
      <c r="X30" s="565">
        <f t="shared" ref="X30:X46" si="10">W30/L30*10</f>
        <v>5.6432098225295011</v>
      </c>
      <c r="Y30" s="1015">
        <f t="shared" si="7"/>
        <v>0.77340370623259325</v>
      </c>
    </row>
    <row r="31" spans="2:25" s="216" customFormat="1" ht="14.25">
      <c r="B31" s="194" t="str">
        <f>'F1'!B40</f>
        <v>LT II (B)</v>
      </c>
      <c r="C31" s="194">
        <f>Backup!O68</f>
        <v>9</v>
      </c>
      <c r="D31" s="194"/>
      <c r="E31" s="194">
        <v>190</v>
      </c>
      <c r="F31" s="194">
        <v>0.95</v>
      </c>
      <c r="G31" s="194">
        <v>4.58</v>
      </c>
      <c r="H31" s="194"/>
      <c r="I31" s="194"/>
      <c r="J31" s="952"/>
      <c r="K31" s="949">
        <f>+'F13.2'!K31</f>
        <v>266</v>
      </c>
      <c r="L31" s="565">
        <f>'F1'!N40</f>
        <v>0.38231715840000002</v>
      </c>
      <c r="M31" s="950">
        <f t="shared" si="8"/>
        <v>0</v>
      </c>
      <c r="N31" s="565">
        <f>E31*K31*12/10^7</f>
        <v>6.0648000000000001E-2</v>
      </c>
      <c r="O31" s="565">
        <f t="shared" si="5"/>
        <v>3.6320130047999999E-2</v>
      </c>
      <c r="P31" s="565">
        <f>SUM(P32:P35)</f>
        <v>0.17402594429783572</v>
      </c>
      <c r="Q31" s="194"/>
      <c r="R31" s="194"/>
      <c r="S31" s="565">
        <f>+'F13.2'!S31</f>
        <v>-2.8187880000000005E-3</v>
      </c>
      <c r="T31" s="565">
        <f>+'F13.2'!T31</f>
        <v>3.8782800000000009E-3</v>
      </c>
      <c r="U31" s="565">
        <f t="shared" si="6"/>
        <v>0.27205356634583572</v>
      </c>
      <c r="V31" s="194"/>
      <c r="W31" s="806">
        <f t="shared" si="1"/>
        <v>0.27205356634583572</v>
      </c>
      <c r="X31" s="565">
        <f t="shared" si="10"/>
        <v>7.115913067683957</v>
      </c>
      <c r="Y31" s="1015">
        <f t="shared" si="7"/>
        <v>0.97523815573967942</v>
      </c>
    </row>
    <row r="32" spans="2:25">
      <c r="B32" s="129" t="s">
        <v>1061</v>
      </c>
      <c r="C32" s="129"/>
      <c r="D32" s="129"/>
      <c r="E32" s="129"/>
      <c r="F32" s="129"/>
      <c r="G32" s="564">
        <v>-1.5</v>
      </c>
      <c r="H32" s="129"/>
      <c r="I32" s="129"/>
      <c r="J32" s="36"/>
      <c r="K32" s="932"/>
      <c r="L32" s="564">
        <f>+L31*'F13 B'!I382</f>
        <v>9.2195569610974637E-2</v>
      </c>
      <c r="M32" s="936"/>
      <c r="N32" s="564"/>
      <c r="O32" s="564"/>
      <c r="P32" s="564">
        <f>+L32*($G$31+G32)/10</f>
        <v>2.839623544018019E-2</v>
      </c>
      <c r="Q32" s="129"/>
      <c r="R32" s="129"/>
      <c r="S32" s="129"/>
      <c r="T32" s="129"/>
      <c r="U32" s="564"/>
      <c r="V32" s="129"/>
      <c r="W32" s="805"/>
      <c r="X32" s="564"/>
      <c r="Y32" s="129"/>
    </row>
    <row r="33" spans="2:25" ht="30">
      <c r="B33" s="948" t="s">
        <v>1062</v>
      </c>
      <c r="C33" s="129"/>
      <c r="D33" s="129"/>
      <c r="E33" s="129"/>
      <c r="F33" s="129"/>
      <c r="G33" s="564">
        <v>0</v>
      </c>
      <c r="H33" s="129"/>
      <c r="I33" s="129"/>
      <c r="J33" s="36"/>
      <c r="K33" s="932"/>
      <c r="L33" s="564">
        <f>+L31*'F13 B'!J382</f>
        <v>0.1595311524280473</v>
      </c>
      <c r="M33" s="936"/>
      <c r="N33" s="564"/>
      <c r="O33" s="564"/>
      <c r="P33" s="564">
        <f t="shared" ref="P33:P35" si="11">+L33*($G$31+G33)/10</f>
        <v>7.306526781204567E-2</v>
      </c>
      <c r="Q33" s="129"/>
      <c r="R33" s="129"/>
      <c r="S33" s="129"/>
      <c r="T33" s="129"/>
      <c r="U33" s="564"/>
      <c r="V33" s="129"/>
      <c r="W33" s="805"/>
      <c r="X33" s="564"/>
      <c r="Y33" s="129"/>
    </row>
    <row r="34" spans="2:25">
      <c r="B34" s="129" t="s">
        <v>1063</v>
      </c>
      <c r="C34" s="129"/>
      <c r="D34" s="129"/>
      <c r="E34" s="129"/>
      <c r="F34" s="129"/>
      <c r="G34" s="564">
        <v>0.8</v>
      </c>
      <c r="H34" s="129"/>
      <c r="I34" s="129"/>
      <c r="J34" s="36"/>
      <c r="K34" s="932"/>
      <c r="L34" s="564">
        <f>+L31*'F13 B'!K382</f>
        <v>5.369756024752273E-2</v>
      </c>
      <c r="M34" s="936"/>
      <c r="N34" s="564"/>
      <c r="O34" s="564"/>
      <c r="P34" s="564">
        <f t="shared" si="11"/>
        <v>2.8889287413167229E-2</v>
      </c>
      <c r="Q34" s="129"/>
      <c r="R34" s="129"/>
      <c r="S34" s="129"/>
      <c r="T34" s="129"/>
      <c r="U34" s="564"/>
      <c r="V34" s="129"/>
      <c r="W34" s="805"/>
      <c r="X34" s="564"/>
      <c r="Y34" s="129"/>
    </row>
    <row r="35" spans="2:25">
      <c r="B35" s="129" t="s">
        <v>1064</v>
      </c>
      <c r="C35" s="129"/>
      <c r="D35" s="129"/>
      <c r="E35" s="129"/>
      <c r="F35" s="129"/>
      <c r="G35" s="564">
        <v>1.1000000000000001</v>
      </c>
      <c r="H35" s="129"/>
      <c r="I35" s="129"/>
      <c r="J35" s="36"/>
      <c r="K35" s="932"/>
      <c r="L35" s="564">
        <f>+L31*'F13 B'!L382</f>
        <v>7.6892876113455327E-2</v>
      </c>
      <c r="M35" s="936"/>
      <c r="N35" s="564"/>
      <c r="O35" s="564"/>
      <c r="P35" s="564">
        <f t="shared" si="11"/>
        <v>4.3675153632442627E-2</v>
      </c>
      <c r="Q35" s="129"/>
      <c r="R35" s="129"/>
      <c r="S35" s="129"/>
      <c r="T35" s="129"/>
      <c r="U35" s="564"/>
      <c r="V35" s="129"/>
      <c r="W35" s="805"/>
      <c r="X35" s="564"/>
      <c r="Y35" s="129"/>
    </row>
    <row r="36" spans="2:25">
      <c r="B36" s="129"/>
      <c r="C36" s="129"/>
      <c r="D36" s="129"/>
      <c r="E36" s="129"/>
      <c r="F36" s="129"/>
      <c r="G36" s="129"/>
      <c r="H36" s="129"/>
      <c r="I36" s="129"/>
      <c r="J36" s="36"/>
      <c r="K36" s="932"/>
      <c r="L36" s="564"/>
      <c r="M36" s="936"/>
      <c r="N36" s="564"/>
      <c r="O36" s="564"/>
      <c r="P36" s="564"/>
      <c r="Q36" s="129"/>
      <c r="R36" s="129"/>
      <c r="S36" s="129"/>
      <c r="T36" s="129"/>
      <c r="U36" s="564"/>
      <c r="V36" s="129"/>
      <c r="W36" s="805"/>
      <c r="X36" s="564"/>
      <c r="Y36" s="129"/>
    </row>
    <row r="37" spans="2:25" s="216" customFormat="1" ht="14.25">
      <c r="B37" s="194" t="str">
        <f>'F1'!B41</f>
        <v>LT III (A)</v>
      </c>
      <c r="C37" s="194">
        <f>Backup!O69</f>
        <v>1</v>
      </c>
      <c r="D37" s="194">
        <v>190</v>
      </c>
      <c r="E37" s="194"/>
      <c r="F37" s="194">
        <v>0.95</v>
      </c>
      <c r="G37" s="194">
        <v>4.58</v>
      </c>
      <c r="H37" s="194"/>
      <c r="I37" s="194"/>
      <c r="J37" s="952"/>
      <c r="K37" s="949"/>
      <c r="L37" s="565">
        <f>'F1'!N41</f>
        <v>6.3646079200000002E-3</v>
      </c>
      <c r="M37" s="951">
        <f t="shared" si="8"/>
        <v>2.2800000000000001E-4</v>
      </c>
      <c r="N37" s="565">
        <f>D37*K37*12/10^7</f>
        <v>0</v>
      </c>
      <c r="O37" s="565">
        <f t="shared" si="5"/>
        <v>6.0463775240000004E-4</v>
      </c>
      <c r="P37" s="565">
        <f t="shared" si="9"/>
        <v>2.9149904273599999E-3</v>
      </c>
      <c r="Q37" s="194"/>
      <c r="R37" s="194"/>
      <c r="S37" s="194"/>
      <c r="T37" s="194"/>
      <c r="U37" s="565">
        <f t="shared" si="6"/>
        <v>3.7476281797600001E-3</v>
      </c>
      <c r="V37" s="194"/>
      <c r="W37" s="806">
        <f t="shared" si="1"/>
        <v>3.7476281797600001E-3</v>
      </c>
      <c r="X37" s="565">
        <f t="shared" si="10"/>
        <v>5.8882310220297116</v>
      </c>
      <c r="Y37" s="1015">
        <f t="shared" ref="Y37:Y38" si="12">+X37/$X$48</f>
        <v>0.80698393978025829</v>
      </c>
    </row>
    <row r="38" spans="2:25" s="216" customFormat="1" ht="14.25">
      <c r="B38" s="194" t="str">
        <f>'F1'!B42</f>
        <v>LT III (B)</v>
      </c>
      <c r="C38" s="194">
        <f>Backup!O70</f>
        <v>29</v>
      </c>
      <c r="D38" s="194"/>
      <c r="E38" s="194">
        <v>190</v>
      </c>
      <c r="F38" s="194">
        <v>0.95</v>
      </c>
      <c r="G38" s="194">
        <v>4.58</v>
      </c>
      <c r="H38" s="194"/>
      <c r="I38" s="194"/>
      <c r="J38" s="194"/>
      <c r="K38" s="949">
        <f>+'F13.2'!K38</f>
        <v>2708</v>
      </c>
      <c r="L38" s="565">
        <f>'F1'!N42</f>
        <v>7.2719716501080001</v>
      </c>
      <c r="M38" s="950">
        <f t="shared" si="8"/>
        <v>0</v>
      </c>
      <c r="N38" s="565">
        <f>E38*K38*12/10^7</f>
        <v>0.61742399999999997</v>
      </c>
      <c r="O38" s="565">
        <f t="shared" si="5"/>
        <v>0.69083730676026001</v>
      </c>
      <c r="P38" s="565">
        <f>SUM(P39:P42)</f>
        <v>3.2626199890598855</v>
      </c>
      <c r="Q38" s="194"/>
      <c r="R38" s="194"/>
      <c r="S38" s="565">
        <f>+'F13.2'!S38</f>
        <v>-0.23649888999999999</v>
      </c>
      <c r="T38" s="565">
        <f>+'F13.2'!T38</f>
        <v>1.2884400000000001E-2</v>
      </c>
      <c r="U38" s="565">
        <f t="shared" si="6"/>
        <v>4.3472668058201451</v>
      </c>
      <c r="V38" s="194"/>
      <c r="W38" s="806">
        <f t="shared" si="1"/>
        <v>4.3472668058201451</v>
      </c>
      <c r="X38" s="565">
        <f t="shared" si="10"/>
        <v>5.9781129726428208</v>
      </c>
      <c r="Y38" s="1015">
        <f t="shared" si="12"/>
        <v>0.81930228978207242</v>
      </c>
    </row>
    <row r="39" spans="2:25">
      <c r="B39" s="129" t="s">
        <v>1061</v>
      </c>
      <c r="C39" s="129"/>
      <c r="D39" s="129"/>
      <c r="E39" s="129"/>
      <c r="F39" s="129"/>
      <c r="G39" s="564">
        <v>-1.5</v>
      </c>
      <c r="H39" s="129"/>
      <c r="I39" s="129"/>
      <c r="J39" s="129"/>
      <c r="K39" s="932"/>
      <c r="L39" s="564">
        <f>+L38*'F13 B'!I384</f>
        <v>1.9604922453875915</v>
      </c>
      <c r="M39" s="936"/>
      <c r="N39" s="564"/>
      <c r="O39" s="564"/>
      <c r="P39" s="564">
        <f>+L39*($G$38+G39)/10</f>
        <v>0.60383161157937815</v>
      </c>
      <c r="Q39" s="129"/>
      <c r="R39" s="129"/>
      <c r="S39" s="129"/>
      <c r="T39" s="129"/>
      <c r="U39" s="564"/>
      <c r="V39" s="129"/>
      <c r="W39" s="805"/>
      <c r="X39" s="564"/>
      <c r="Y39" s="129"/>
    </row>
    <row r="40" spans="2:25" ht="30">
      <c r="B40" s="948" t="s">
        <v>1062</v>
      </c>
      <c r="C40" s="129"/>
      <c r="D40" s="129"/>
      <c r="E40" s="129"/>
      <c r="F40" s="129"/>
      <c r="G40" s="564">
        <v>0</v>
      </c>
      <c r="H40" s="129"/>
      <c r="I40" s="129"/>
      <c r="J40" s="129"/>
      <c r="K40" s="932"/>
      <c r="L40" s="564">
        <f>+L38*'F13 B'!J384</f>
        <v>2.978116943800929</v>
      </c>
      <c r="M40" s="936"/>
      <c r="N40" s="564"/>
      <c r="O40" s="564"/>
      <c r="P40" s="564">
        <f t="shared" ref="P40:P42" si="13">+L40*($G$38+G40)/10</f>
        <v>1.3639775602608255</v>
      </c>
      <c r="Q40" s="129"/>
      <c r="R40" s="129"/>
      <c r="S40" s="129"/>
      <c r="T40" s="129"/>
      <c r="U40" s="564"/>
      <c r="V40" s="129"/>
      <c r="W40" s="805"/>
      <c r="X40" s="564"/>
      <c r="Y40" s="129"/>
    </row>
    <row r="41" spans="2:25">
      <c r="B41" s="129" t="s">
        <v>1063</v>
      </c>
      <c r="C41" s="129"/>
      <c r="D41" s="129"/>
      <c r="E41" s="129"/>
      <c r="F41" s="129"/>
      <c r="G41" s="564">
        <v>0.8</v>
      </c>
      <c r="H41" s="129"/>
      <c r="I41" s="129"/>
      <c r="J41" s="129"/>
      <c r="K41" s="932"/>
      <c r="L41" s="564">
        <f>+L38*'F13 B'!K384</f>
        <v>1.017968686086079</v>
      </c>
      <c r="M41" s="936"/>
      <c r="N41" s="564"/>
      <c r="O41" s="564"/>
      <c r="P41" s="564">
        <f t="shared" si="13"/>
        <v>0.54766715311431047</v>
      </c>
      <c r="Q41" s="129"/>
      <c r="R41" s="129"/>
      <c r="S41" s="129"/>
      <c r="T41" s="129"/>
      <c r="U41" s="564"/>
      <c r="V41" s="129"/>
      <c r="W41" s="805"/>
      <c r="X41" s="564"/>
      <c r="Y41" s="129"/>
    </row>
    <row r="42" spans="2:25">
      <c r="B42" s="129" t="s">
        <v>1064</v>
      </c>
      <c r="C42" s="129"/>
      <c r="D42" s="129"/>
      <c r="E42" s="129"/>
      <c r="F42" s="129"/>
      <c r="G42" s="564">
        <v>1.1000000000000001</v>
      </c>
      <c r="H42" s="129"/>
      <c r="I42" s="129"/>
      <c r="J42" s="129"/>
      <c r="K42" s="932"/>
      <c r="L42" s="564">
        <f>+L38*'F13 B'!L384</f>
        <v>1.3153937748334001</v>
      </c>
      <c r="M42" s="936"/>
      <c r="N42" s="564"/>
      <c r="O42" s="564"/>
      <c r="P42" s="564">
        <f t="shared" si="13"/>
        <v>0.74714366410537125</v>
      </c>
      <c r="Q42" s="129"/>
      <c r="R42" s="129"/>
      <c r="S42" s="129"/>
      <c r="T42" s="129"/>
      <c r="U42" s="564"/>
      <c r="V42" s="129"/>
      <c r="W42" s="805"/>
      <c r="X42" s="564"/>
      <c r="Y42" s="129"/>
    </row>
    <row r="43" spans="2:25">
      <c r="B43" s="129"/>
      <c r="C43" s="129"/>
      <c r="D43" s="129"/>
      <c r="E43" s="129"/>
      <c r="F43" s="129"/>
      <c r="G43" s="129"/>
      <c r="H43" s="129"/>
      <c r="I43" s="129"/>
      <c r="J43" s="129"/>
      <c r="K43" s="932"/>
      <c r="L43" s="564"/>
      <c r="M43" s="936"/>
      <c r="N43" s="564"/>
      <c r="O43" s="564"/>
      <c r="P43" s="564"/>
      <c r="Q43" s="129"/>
      <c r="R43" s="129"/>
      <c r="S43" s="129"/>
      <c r="T43" s="129"/>
      <c r="U43" s="564"/>
      <c r="V43" s="129"/>
      <c r="W43" s="805"/>
      <c r="X43" s="564"/>
      <c r="Y43" s="129"/>
    </row>
    <row r="44" spans="2:25">
      <c r="B44" s="194" t="str">
        <f>'F1'!B43</f>
        <v>Sub-total LT</v>
      </c>
      <c r="C44" s="194">
        <f>+C29+C30+C31+C37+C38</f>
        <v>71</v>
      </c>
      <c r="D44" s="129"/>
      <c r="E44" s="129"/>
      <c r="F44" s="129"/>
      <c r="G44" s="129"/>
      <c r="H44" s="129"/>
      <c r="I44" s="129"/>
      <c r="J44" s="129"/>
      <c r="K44" s="129"/>
      <c r="L44" s="905">
        <f t="shared" ref="L44:U44" si="14">+L29+L30+L31+L37+L38</f>
        <v>8.3051204632779996</v>
      </c>
      <c r="M44" s="905">
        <f t="shared" si="14"/>
        <v>7.5240000000000003E-3</v>
      </c>
      <c r="N44" s="905">
        <f t="shared" si="14"/>
        <v>0.67807200000000001</v>
      </c>
      <c r="O44" s="905">
        <f t="shared" si="14"/>
        <v>0.78898644401141005</v>
      </c>
      <c r="P44" s="905">
        <f t="shared" si="14"/>
        <v>3.7347268312423809</v>
      </c>
      <c r="Q44" s="905">
        <f t="shared" si="14"/>
        <v>0</v>
      </c>
      <c r="R44" s="905">
        <f t="shared" si="14"/>
        <v>0</v>
      </c>
      <c r="S44" s="565">
        <f t="shared" si="14"/>
        <v>-0.23931767799999998</v>
      </c>
      <c r="T44" s="905">
        <f t="shared" si="14"/>
        <v>1.6762680000000002E-2</v>
      </c>
      <c r="U44" s="905">
        <f t="shared" si="14"/>
        <v>4.9867542772537909</v>
      </c>
      <c r="V44" s="194"/>
      <c r="W44" s="806">
        <f t="shared" si="1"/>
        <v>4.9867542772537909</v>
      </c>
      <c r="X44" s="565">
        <f t="shared" si="10"/>
        <v>6.0044334086462339</v>
      </c>
      <c r="Y44" s="1015">
        <f>+X44/$X$48</f>
        <v>0.82290951393195755</v>
      </c>
    </row>
    <row r="45" spans="2:25">
      <c r="B45" s="194"/>
      <c r="C45" s="129"/>
      <c r="D45" s="129"/>
      <c r="E45" s="129"/>
      <c r="F45" s="129"/>
      <c r="G45" s="129"/>
      <c r="H45" s="129"/>
      <c r="I45" s="129"/>
      <c r="J45" s="129"/>
      <c r="K45" s="129"/>
      <c r="L45" s="564"/>
      <c r="M45" s="129"/>
      <c r="N45" s="564"/>
      <c r="O45" s="564"/>
      <c r="P45" s="564"/>
      <c r="Q45" s="129"/>
      <c r="R45" s="129"/>
      <c r="S45" s="129"/>
      <c r="T45" s="129"/>
      <c r="U45" s="564"/>
      <c r="V45" s="129"/>
      <c r="W45" s="805">
        <f t="shared" si="1"/>
        <v>0</v>
      </c>
      <c r="X45" s="564"/>
      <c r="Y45" s="129"/>
    </row>
    <row r="46" spans="2:25">
      <c r="B46" s="194" t="s">
        <v>115</v>
      </c>
      <c r="C46" s="194">
        <f>C44+C26</f>
        <v>117</v>
      </c>
      <c r="D46" s="129"/>
      <c r="E46" s="129"/>
      <c r="F46" s="129"/>
      <c r="G46" s="129"/>
      <c r="H46" s="129"/>
      <c r="I46" s="129"/>
      <c r="J46" s="129"/>
      <c r="K46" s="129"/>
      <c r="L46" s="905">
        <f t="shared" ref="L46:U46" si="15">L44+L26</f>
        <v>94.719717301993995</v>
      </c>
      <c r="M46" s="905">
        <f t="shared" si="15"/>
        <v>7.5240000000000003E-3</v>
      </c>
      <c r="N46" s="905">
        <f t="shared" si="15"/>
        <v>6.6108599999999997</v>
      </c>
      <c r="O46" s="905">
        <f t="shared" si="15"/>
        <v>8.9983731436894292</v>
      </c>
      <c r="P46" s="905">
        <f t="shared" si="15"/>
        <v>40.766339497571124</v>
      </c>
      <c r="Q46" s="905">
        <f t="shared" si="15"/>
        <v>0</v>
      </c>
      <c r="R46" s="905">
        <f t="shared" si="15"/>
        <v>0</v>
      </c>
      <c r="S46" s="565">
        <f t="shared" si="15"/>
        <v>-2.0254848379999997</v>
      </c>
      <c r="T46" s="905">
        <f t="shared" si="15"/>
        <v>6.2575290000000006E-2</v>
      </c>
      <c r="U46" s="905">
        <f t="shared" si="15"/>
        <v>54.420187093260552</v>
      </c>
      <c r="V46" s="129"/>
      <c r="W46" s="806">
        <f t="shared" si="1"/>
        <v>54.420187093260552</v>
      </c>
      <c r="X46" s="565">
        <f t="shared" si="10"/>
        <v>5.7453916294696246</v>
      </c>
      <c r="Y46" s="1015">
        <f>+X46/$X$48</f>
        <v>0.78740775546739761</v>
      </c>
    </row>
    <row r="47" spans="2:25">
      <c r="B47" s="181"/>
      <c r="C47" s="253"/>
      <c r="D47" s="253"/>
      <c r="E47" s="253"/>
      <c r="F47" s="253"/>
      <c r="G47" s="253"/>
      <c r="H47" s="253"/>
      <c r="I47" s="253"/>
      <c r="J47" s="253"/>
      <c r="K47" s="253"/>
      <c r="L47" s="253"/>
      <c r="M47" s="253"/>
      <c r="N47" s="253"/>
      <c r="O47" s="253"/>
      <c r="P47" s="253"/>
      <c r="Q47" s="253"/>
      <c r="R47" s="253"/>
      <c r="S47" s="253"/>
      <c r="T47" s="253"/>
      <c r="U47" s="253"/>
      <c r="V47" s="253"/>
      <c r="W47" s="253"/>
    </row>
    <row r="48" spans="2:25">
      <c r="B48" s="255" t="s">
        <v>601</v>
      </c>
      <c r="C48" s="255"/>
      <c r="D48" s="255"/>
      <c r="E48" s="255"/>
      <c r="F48" s="255"/>
      <c r="G48" s="255"/>
      <c r="H48" s="255"/>
      <c r="I48" s="255"/>
      <c r="J48" s="255"/>
      <c r="K48" s="255"/>
      <c r="L48" s="255"/>
      <c r="M48" s="255"/>
      <c r="N48" s="255"/>
      <c r="O48" s="255"/>
      <c r="P48" s="255"/>
      <c r="Q48" s="255"/>
      <c r="R48" s="255"/>
      <c r="S48" s="255"/>
      <c r="T48" s="255"/>
      <c r="U48" s="255"/>
      <c r="V48" s="255"/>
      <c r="W48" s="255" t="s">
        <v>1198</v>
      </c>
      <c r="X48" s="1025">
        <f>+'ARR-Summary'!S89</f>
        <v>7.296590095254035</v>
      </c>
    </row>
    <row r="49" spans="2:23">
      <c r="B49" s="246" t="s">
        <v>600</v>
      </c>
      <c r="C49" s="255"/>
      <c r="D49" s="255"/>
      <c r="E49" s="255"/>
      <c r="F49" s="255"/>
      <c r="G49" s="255"/>
      <c r="H49" s="255"/>
      <c r="I49" s="255"/>
      <c r="J49" s="255"/>
      <c r="K49" s="255"/>
      <c r="L49" s="255"/>
      <c r="M49" s="255"/>
      <c r="N49" s="255"/>
      <c r="O49" s="255"/>
      <c r="P49" s="255"/>
      <c r="Q49" s="255"/>
      <c r="R49" s="255"/>
      <c r="S49" s="255"/>
      <c r="T49" s="255"/>
      <c r="U49" s="255"/>
      <c r="V49" s="255"/>
      <c r="W49" s="255"/>
    </row>
    <row r="50" spans="2:23">
      <c r="B50" s="18" t="s">
        <v>602</v>
      </c>
      <c r="C50" s="255"/>
      <c r="D50" s="255"/>
      <c r="E50" s="255"/>
      <c r="F50" s="255"/>
      <c r="G50" s="255"/>
      <c r="H50" s="255"/>
      <c r="I50" s="255"/>
      <c r="J50" s="255"/>
      <c r="K50" s="255"/>
      <c r="L50" s="255"/>
      <c r="M50" s="255"/>
      <c r="N50" s="255"/>
      <c r="O50" s="255"/>
      <c r="P50" s="255"/>
      <c r="Q50" s="255"/>
      <c r="R50" s="255"/>
      <c r="S50" s="255"/>
      <c r="T50" s="255"/>
      <c r="U50" s="255"/>
      <c r="V50" s="255"/>
      <c r="W50" s="255"/>
    </row>
  </sheetData>
  <mergeCells count="9">
    <mergeCell ref="X10:X11"/>
    <mergeCell ref="Y10:Y11"/>
    <mergeCell ref="V10:V11"/>
    <mergeCell ref="W10:W11"/>
    <mergeCell ref="B10:B11"/>
    <mergeCell ref="C10:C11"/>
    <mergeCell ref="D10:I10"/>
    <mergeCell ref="J10:L10"/>
    <mergeCell ref="M10:U10"/>
  </mergeCells>
  <pageMargins left="0.70866141732283472" right="0.70866141732283472" top="0.74803149606299213" bottom="0.74803149606299213" header="0.31496062992125984" footer="0.31496062992125984"/>
  <pageSetup scale="41"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C000"/>
    <pageSetUpPr fitToPage="1"/>
  </sheetPr>
  <dimension ref="B2:AA50"/>
  <sheetViews>
    <sheetView showGridLines="0" view="pageBreakPreview" topLeftCell="A13" zoomScale="70" zoomScaleNormal="50" zoomScaleSheetLayoutView="70" workbookViewId="0">
      <selection activeCell="C11" sqref="C11:C12"/>
    </sheetView>
  </sheetViews>
  <sheetFormatPr defaultColWidth="8.85546875" defaultRowHeight="15"/>
  <cols>
    <col min="1" max="1" width="8.85546875" style="1"/>
    <col min="2" max="2" width="21.140625" style="1" customWidth="1"/>
    <col min="3" max="3" width="14" style="1" customWidth="1"/>
    <col min="4" max="4" width="11.5703125" style="1" customWidth="1"/>
    <col min="5" max="5" width="14.140625" style="1" customWidth="1"/>
    <col min="6" max="7" width="13" style="1" customWidth="1"/>
    <col min="8" max="9" width="11.5703125" style="1" customWidth="1"/>
    <col min="10" max="10" width="13" style="1" customWidth="1"/>
    <col min="11" max="11" width="12.42578125" style="1" customWidth="1"/>
    <col min="12" max="22" width="11.5703125" style="1" customWidth="1"/>
    <col min="23" max="23" width="13.85546875" style="1" customWidth="1"/>
    <col min="24" max="24" width="12.85546875" style="1" customWidth="1"/>
    <col min="25" max="25" width="18.7109375" style="1" customWidth="1"/>
    <col min="26" max="26" width="4" style="1" customWidth="1"/>
    <col min="27" max="16384" width="8.85546875" style="1"/>
  </cols>
  <sheetData>
    <row r="2" spans="2:27">
      <c r="C2" s="375"/>
      <c r="D2" s="375"/>
      <c r="E2" s="375"/>
      <c r="F2" s="375"/>
      <c r="G2" s="375"/>
      <c r="H2" s="375"/>
      <c r="J2" s="375" t="s">
        <v>906</v>
      </c>
      <c r="K2" s="375"/>
      <c r="L2" s="375"/>
      <c r="M2" s="375"/>
      <c r="N2" s="375"/>
      <c r="O2" s="375"/>
      <c r="P2" s="375"/>
    </row>
    <row r="3" spans="2:27">
      <c r="C3" s="189"/>
      <c r="D3" s="189"/>
      <c r="E3" s="189"/>
      <c r="F3" s="189"/>
      <c r="G3" s="189"/>
      <c r="H3" s="189"/>
      <c r="J3" s="990" t="s">
        <v>722</v>
      </c>
      <c r="K3" s="189"/>
      <c r="L3" s="189"/>
      <c r="M3" s="189"/>
      <c r="N3" s="189"/>
      <c r="O3" s="189"/>
      <c r="P3" s="189"/>
    </row>
    <row r="4" spans="2:27">
      <c r="C4" s="189"/>
      <c r="D4" s="189"/>
      <c r="E4" s="189"/>
      <c r="F4" s="189"/>
      <c r="G4" s="189"/>
      <c r="H4" s="189"/>
      <c r="J4" s="189" t="s">
        <v>703</v>
      </c>
      <c r="K4" s="189"/>
      <c r="L4" s="189"/>
      <c r="M4" s="189"/>
      <c r="N4" s="189"/>
      <c r="O4" s="189"/>
      <c r="P4" s="189"/>
    </row>
    <row r="5" spans="2:27">
      <c r="B5" s="189"/>
      <c r="C5" s="189"/>
      <c r="D5" s="189"/>
      <c r="E5" s="189"/>
      <c r="F5" s="189"/>
      <c r="G5" s="189"/>
      <c r="H5" s="189"/>
      <c r="I5" s="189"/>
      <c r="J5" s="189"/>
      <c r="K5" s="189"/>
      <c r="L5" s="189"/>
      <c r="M5" s="189"/>
      <c r="N5" s="189"/>
      <c r="O5" s="189"/>
      <c r="P5" s="189"/>
    </row>
    <row r="6" spans="2:27">
      <c r="B6" s="189"/>
      <c r="C6" s="189"/>
      <c r="D6" s="189"/>
      <c r="E6" s="189"/>
      <c r="F6" s="189"/>
      <c r="G6" s="189"/>
      <c r="H6" s="189"/>
      <c r="I6" s="189"/>
      <c r="J6" s="189"/>
      <c r="K6" s="189"/>
      <c r="L6" s="189"/>
      <c r="M6" s="189"/>
      <c r="N6" s="189"/>
      <c r="O6" s="189"/>
      <c r="P6" s="189"/>
    </row>
    <row r="7" spans="2:27">
      <c r="B7" s="252" t="s">
        <v>389</v>
      </c>
      <c r="C7" s="253"/>
      <c r="D7" s="253"/>
      <c r="E7" s="253"/>
      <c r="F7" s="253"/>
      <c r="G7" s="253"/>
      <c r="H7" s="253"/>
      <c r="I7" s="253"/>
      <c r="J7" s="253"/>
      <c r="K7" s="253"/>
      <c r="L7" s="253"/>
      <c r="M7" s="253"/>
      <c r="N7" s="253"/>
      <c r="O7" s="253"/>
      <c r="P7" s="253"/>
      <c r="Q7" s="253"/>
      <c r="R7" s="253"/>
      <c r="S7" s="253"/>
      <c r="T7" s="253"/>
      <c r="U7" s="253"/>
      <c r="V7" s="253"/>
      <c r="W7" s="253"/>
    </row>
    <row r="8" spans="2:27">
      <c r="B8" s="252" t="s">
        <v>1199</v>
      </c>
      <c r="C8" s="253"/>
      <c r="D8" s="253"/>
      <c r="E8" s="253"/>
      <c r="F8" s="253"/>
      <c r="G8" s="253"/>
      <c r="H8" s="253"/>
      <c r="I8" s="253"/>
      <c r="J8" s="253"/>
      <c r="K8" s="253"/>
      <c r="L8" s="253"/>
      <c r="M8" s="253"/>
      <c r="N8" s="253"/>
      <c r="O8" s="253"/>
      <c r="P8" s="253"/>
      <c r="Q8" s="253"/>
      <c r="R8" s="253"/>
      <c r="S8" s="253"/>
      <c r="T8" s="253"/>
      <c r="U8" s="253"/>
      <c r="V8" s="253"/>
      <c r="W8" s="253"/>
    </row>
    <row r="9" spans="2:27">
      <c r="B9" s="253"/>
      <c r="C9" s="253"/>
      <c r="D9" s="253"/>
      <c r="E9" s="253"/>
      <c r="F9" s="253"/>
      <c r="G9" s="253"/>
      <c r="H9" s="253"/>
      <c r="I9" s="253"/>
      <c r="J9" s="253"/>
      <c r="K9" s="253"/>
      <c r="L9" s="253"/>
      <c r="M9" s="253"/>
      <c r="N9" s="253"/>
      <c r="O9" s="253"/>
      <c r="P9" s="253"/>
      <c r="Q9" s="253"/>
      <c r="R9" s="253"/>
      <c r="S9" s="253"/>
      <c r="T9" s="253"/>
      <c r="U9" s="253"/>
      <c r="V9" s="253"/>
      <c r="W9" s="253"/>
    </row>
    <row r="10" spans="2:27" ht="13.9" customHeight="1">
      <c r="B10" s="1521"/>
      <c r="C10" s="1517" t="s">
        <v>368</v>
      </c>
      <c r="D10" s="1519" t="s">
        <v>376</v>
      </c>
      <c r="E10" s="1519"/>
      <c r="F10" s="1519"/>
      <c r="G10" s="1519"/>
      <c r="H10" s="1519"/>
      <c r="I10" s="1519"/>
      <c r="J10" s="1517" t="s">
        <v>377</v>
      </c>
      <c r="K10" s="1517"/>
      <c r="L10" s="1517"/>
      <c r="M10" s="1520" t="s">
        <v>378</v>
      </c>
      <c r="N10" s="1520"/>
      <c r="O10" s="1520"/>
      <c r="P10" s="1520"/>
      <c r="Q10" s="1520"/>
      <c r="R10" s="1520"/>
      <c r="S10" s="1520"/>
      <c r="T10" s="1520"/>
      <c r="U10" s="1520"/>
      <c r="V10" s="1517" t="s">
        <v>372</v>
      </c>
      <c r="W10" s="1517" t="s">
        <v>379</v>
      </c>
      <c r="X10" s="1517" t="s">
        <v>380</v>
      </c>
      <c r="Y10" s="1517" t="s">
        <v>479</v>
      </c>
    </row>
    <row r="11" spans="2:27" ht="57">
      <c r="B11" s="1521"/>
      <c r="C11" s="1517"/>
      <c r="D11" s="989" t="s">
        <v>1092</v>
      </c>
      <c r="E11" s="989" t="s">
        <v>1089</v>
      </c>
      <c r="F11" s="989" t="s">
        <v>1091</v>
      </c>
      <c r="G11" s="989" t="s">
        <v>1090</v>
      </c>
      <c r="H11" s="989" t="s">
        <v>603</v>
      </c>
      <c r="I11" s="989" t="s">
        <v>381</v>
      </c>
      <c r="J11" s="989" t="s">
        <v>478</v>
      </c>
      <c r="K11" s="989" t="s">
        <v>382</v>
      </c>
      <c r="L11" s="989" t="s">
        <v>369</v>
      </c>
      <c r="M11" s="989" t="s">
        <v>383</v>
      </c>
      <c r="N11" s="989" t="s">
        <v>384</v>
      </c>
      <c r="O11" s="989" t="s">
        <v>1093</v>
      </c>
      <c r="P11" s="989" t="s">
        <v>385</v>
      </c>
      <c r="Q11" s="989" t="s">
        <v>604</v>
      </c>
      <c r="R11" s="989" t="s">
        <v>386</v>
      </c>
      <c r="S11" s="339" t="s">
        <v>1108</v>
      </c>
      <c r="T11" s="339" t="s">
        <v>840</v>
      </c>
      <c r="U11" s="1014" t="s">
        <v>115</v>
      </c>
      <c r="V11" s="1517"/>
      <c r="W11" s="1517"/>
      <c r="X11" s="1517"/>
      <c r="Y11" s="1517"/>
    </row>
    <row r="12" spans="2:27">
      <c r="B12" s="193"/>
      <c r="C12" s="254"/>
      <c r="D12" s="134"/>
      <c r="E12" s="134"/>
      <c r="F12" s="134"/>
      <c r="G12" s="134"/>
      <c r="H12" s="134"/>
      <c r="I12" s="134"/>
      <c r="J12" s="134"/>
      <c r="K12" s="134"/>
      <c r="L12" s="134"/>
      <c r="M12" s="134"/>
      <c r="N12" s="134"/>
      <c r="O12" s="134"/>
      <c r="P12" s="134"/>
      <c r="Q12" s="134"/>
      <c r="R12" s="134"/>
      <c r="S12" s="134"/>
      <c r="T12" s="134"/>
      <c r="U12" s="135"/>
      <c r="V12" s="254"/>
      <c r="W12" s="254"/>
      <c r="X12" s="254"/>
      <c r="Y12" s="254"/>
    </row>
    <row r="13" spans="2:27">
      <c r="B13" s="194" t="str">
        <f>'F1'!B32</f>
        <v>HT Category</v>
      </c>
      <c r="C13" s="129"/>
      <c r="D13" s="129"/>
      <c r="E13" s="129"/>
      <c r="F13" s="160"/>
      <c r="H13" s="129"/>
      <c r="I13" s="129"/>
      <c r="J13" s="129"/>
      <c r="K13" s="129"/>
      <c r="L13" s="129"/>
      <c r="M13" s="129"/>
      <c r="N13" s="129"/>
      <c r="O13" s="129"/>
      <c r="P13" s="129"/>
      <c r="Q13" s="129"/>
      <c r="R13" s="129"/>
      <c r="S13" s="129"/>
      <c r="T13" s="129"/>
      <c r="U13" s="129"/>
      <c r="V13" s="129"/>
      <c r="W13" s="129"/>
      <c r="X13" s="129"/>
      <c r="Y13" s="129"/>
    </row>
    <row r="14" spans="2:27" s="216" customFormat="1" ht="14.25">
      <c r="B14" s="194" t="str">
        <f>'F1'!B33</f>
        <v>HT I</v>
      </c>
      <c r="C14" s="194">
        <f>'F13 B'!B93</f>
        <v>45</v>
      </c>
      <c r="D14" s="41"/>
      <c r="E14" s="933">
        <v>270</v>
      </c>
      <c r="F14" s="565">
        <f ca="1">+'ARR-Summary'!Q87</f>
        <v>1.3385446192075825</v>
      </c>
      <c r="G14" s="248">
        <f>4.27+0.05</f>
        <v>4.3199999999999994</v>
      </c>
      <c r="H14" s="248"/>
      <c r="I14" s="248"/>
      <c r="J14" s="248"/>
      <c r="K14" s="1195">
        <f>+'F13.1'!K13</f>
        <v>25021</v>
      </c>
      <c r="L14" s="845">
        <f>'F1'!L33</f>
        <v>79.618412711600016</v>
      </c>
      <c r="M14" s="248"/>
      <c r="N14" s="845">
        <f>E14*K14*12/10^7</f>
        <v>8.1068040000000003</v>
      </c>
      <c r="O14" s="845">
        <f ca="1">+F14*L14/10</f>
        <v>10.65727979249608</v>
      </c>
      <c r="P14" s="845">
        <f>SUM(P15:P18)</f>
        <v>33.733325290941814</v>
      </c>
      <c r="Q14" s="248"/>
      <c r="R14" s="248"/>
      <c r="S14" s="845">
        <f>+'F13.1'!U13</f>
        <v>-1.807790131</v>
      </c>
      <c r="T14" s="845">
        <f>+'F13.1'!V13</f>
        <v>4.5812609999999997E-2</v>
      </c>
      <c r="U14" s="845">
        <f ca="1">SUM(M14:T14)</f>
        <v>50.735431562437896</v>
      </c>
      <c r="V14" s="248"/>
      <c r="W14" s="806">
        <f ca="1">U14+V14</f>
        <v>50.735431562437896</v>
      </c>
      <c r="X14" s="565">
        <f ca="1">W14*10/L14</f>
        <v>6.3723239178625306</v>
      </c>
      <c r="Y14" s="1015">
        <f ca="1">+X14/$X$48</f>
        <v>0.95335574289296632</v>
      </c>
      <c r="AA14" s="1017">
        <v>1</v>
      </c>
    </row>
    <row r="15" spans="2:27">
      <c r="B15" s="129" t="s">
        <v>1061</v>
      </c>
      <c r="C15" s="129"/>
      <c r="D15" s="14"/>
      <c r="E15" s="935"/>
      <c r="F15" s="564"/>
      <c r="G15" s="560">
        <v>-1.5</v>
      </c>
      <c r="H15" s="105"/>
      <c r="I15" s="105"/>
      <c r="J15" s="105"/>
      <c r="K15" s="1197"/>
      <c r="L15" s="560">
        <f>+L14*'F13 B'!I377</f>
        <v>21.152524974856732</v>
      </c>
      <c r="M15" s="105"/>
      <c r="N15" s="560"/>
      <c r="O15" s="560"/>
      <c r="P15" s="560">
        <f>+L15*($G$14+G15)/10</f>
        <v>5.9650120429095974</v>
      </c>
      <c r="Q15" s="105"/>
      <c r="R15" s="105"/>
      <c r="S15" s="105"/>
      <c r="T15" s="105"/>
      <c r="U15" s="560"/>
      <c r="V15" s="105"/>
      <c r="W15" s="805"/>
      <c r="X15" s="564"/>
      <c r="Y15" s="129"/>
    </row>
    <row r="16" spans="2:27" ht="30">
      <c r="B16" s="948" t="s">
        <v>1062</v>
      </c>
      <c r="C16" s="129"/>
      <c r="D16" s="14"/>
      <c r="E16" s="935"/>
      <c r="F16" s="564"/>
      <c r="G16" s="560">
        <v>0</v>
      </c>
      <c r="H16" s="105"/>
      <c r="I16" s="105"/>
      <c r="J16" s="105"/>
      <c r="K16" s="1197"/>
      <c r="L16" s="560">
        <f>+L14*'F13 B'!J377</f>
        <v>32.574706433990578</v>
      </c>
      <c r="M16" s="105"/>
      <c r="N16" s="560"/>
      <c r="O16" s="560"/>
      <c r="P16" s="560">
        <f t="shared" ref="P16:P18" si="0">+L16*($G$14+G16)/10</f>
        <v>14.072273179483926</v>
      </c>
      <c r="Q16" s="105"/>
      <c r="R16" s="105"/>
      <c r="S16" s="105"/>
      <c r="T16" s="105"/>
      <c r="U16" s="560"/>
      <c r="V16" s="105"/>
      <c r="W16" s="805"/>
      <c r="X16" s="564"/>
      <c r="Y16" s="129"/>
    </row>
    <row r="17" spans="2:27">
      <c r="B17" s="129" t="s">
        <v>1063</v>
      </c>
      <c r="C17" s="129"/>
      <c r="D17" s="14"/>
      <c r="E17" s="935"/>
      <c r="F17" s="564"/>
      <c r="G17" s="560">
        <v>0.8</v>
      </c>
      <c r="H17" s="105"/>
      <c r="I17" s="105"/>
      <c r="J17" s="105"/>
      <c r="K17" s="1197"/>
      <c r="L17" s="560">
        <f>+L14*'F13 B'!K377</f>
        <v>11.232673251455514</v>
      </c>
      <c r="M17" s="105"/>
      <c r="N17" s="560"/>
      <c r="O17" s="560"/>
      <c r="P17" s="560">
        <f t="shared" si="0"/>
        <v>5.7511287047452218</v>
      </c>
      <c r="Q17" s="105"/>
      <c r="R17" s="105"/>
      <c r="S17" s="105"/>
      <c r="T17" s="105"/>
      <c r="U17" s="560"/>
      <c r="V17" s="105"/>
      <c r="W17" s="805"/>
      <c r="X17" s="564"/>
      <c r="Y17" s="129"/>
    </row>
    <row r="18" spans="2:27">
      <c r="B18" s="129" t="s">
        <v>1064</v>
      </c>
      <c r="C18" s="129"/>
      <c r="D18" s="14"/>
      <c r="E18" s="935"/>
      <c r="F18" s="564"/>
      <c r="G18" s="560">
        <v>1.1000000000000001</v>
      </c>
      <c r="H18" s="105"/>
      <c r="I18" s="105"/>
      <c r="J18" s="105"/>
      <c r="K18" s="1197"/>
      <c r="L18" s="560">
        <f>+L14*'F13 B'!L377</f>
        <v>14.658508051297185</v>
      </c>
      <c r="M18" s="105"/>
      <c r="N18" s="560"/>
      <c r="O18" s="560"/>
      <c r="P18" s="560">
        <f t="shared" si="0"/>
        <v>7.9449113638030742</v>
      </c>
      <c r="Q18" s="105"/>
      <c r="R18" s="105"/>
      <c r="S18" s="105"/>
      <c r="T18" s="105"/>
      <c r="U18" s="560"/>
      <c r="V18" s="105"/>
      <c r="W18" s="805"/>
      <c r="X18" s="564"/>
      <c r="Y18" s="129"/>
    </row>
    <row r="19" spans="2:27">
      <c r="B19" s="129"/>
      <c r="C19" s="129"/>
      <c r="D19" s="14"/>
      <c r="E19" s="935"/>
      <c r="F19" s="564"/>
      <c r="G19" s="105"/>
      <c r="H19" s="105"/>
      <c r="I19" s="105"/>
      <c r="J19" s="105"/>
      <c r="K19" s="1197"/>
      <c r="L19" s="560"/>
      <c r="M19" s="105"/>
      <c r="N19" s="560"/>
      <c r="O19" s="560"/>
      <c r="P19" s="560"/>
      <c r="Q19" s="105"/>
      <c r="R19" s="105"/>
      <c r="S19" s="105"/>
      <c r="T19" s="105"/>
      <c r="U19" s="560"/>
      <c r="V19" s="105"/>
      <c r="W19" s="805"/>
      <c r="X19" s="564"/>
      <c r="Y19" s="129"/>
    </row>
    <row r="20" spans="2:27" s="216" customFormat="1" ht="14.25">
      <c r="B20" s="194" t="str">
        <f>'F1'!B34</f>
        <v>HT II</v>
      </c>
      <c r="C20" s="194">
        <f>'F13 B'!B94</f>
        <v>1</v>
      </c>
      <c r="D20" s="41"/>
      <c r="E20" s="933">
        <v>270</v>
      </c>
      <c r="F20" s="565">
        <f ca="1">+F14</f>
        <v>1.3385446192075825</v>
      </c>
      <c r="G20" s="845">
        <f>4.25+0.25</f>
        <v>4.5</v>
      </c>
      <c r="H20" s="248"/>
      <c r="I20" s="248"/>
      <c r="J20" s="248"/>
      <c r="K20" s="248">
        <f>Backup!P50</f>
        <v>1000</v>
      </c>
      <c r="L20" s="845">
        <f>'F1'!L34</f>
        <v>5</v>
      </c>
      <c r="M20" s="248"/>
      <c r="N20" s="845">
        <f>E20*K20*12/10^7</f>
        <v>0.32400000000000001</v>
      </c>
      <c r="O20" s="845">
        <f ca="1">+F20*L20/10</f>
        <v>0.66927230960379125</v>
      </c>
      <c r="P20" s="845">
        <f>SUM(P21:P24)</f>
        <v>2.2084374406667271</v>
      </c>
      <c r="Q20" s="248"/>
      <c r="R20" s="248"/>
      <c r="S20" s="248"/>
      <c r="T20" s="248"/>
      <c r="U20" s="845">
        <f ca="1">SUM(M20:T20)</f>
        <v>3.2017097502705183</v>
      </c>
      <c r="V20" s="248"/>
      <c r="W20" s="806">
        <f t="shared" ref="W20:W45" ca="1" si="1">U20+V20</f>
        <v>3.2017097502705183</v>
      </c>
      <c r="X20" s="565">
        <f t="shared" ref="X20:X46" ca="1" si="2">W20*10/L20</f>
        <v>6.4034195005410366</v>
      </c>
      <c r="Y20" s="1015">
        <f ca="1">+X20/$X$48</f>
        <v>0.95800791574344824</v>
      </c>
      <c r="AA20" s="1017">
        <v>1.05</v>
      </c>
    </row>
    <row r="21" spans="2:27">
      <c r="B21" s="129" t="s">
        <v>1061</v>
      </c>
      <c r="C21" s="129"/>
      <c r="D21" s="14"/>
      <c r="E21" s="935"/>
      <c r="F21" s="564"/>
      <c r="G21" s="560">
        <v>-1.5</v>
      </c>
      <c r="H21" s="105"/>
      <c r="I21" s="105"/>
      <c r="J21" s="105"/>
      <c r="K21" s="105"/>
      <c r="L21" s="560">
        <f>+L20*'F13 B'!I377</f>
        <v>1.3283689196038764</v>
      </c>
      <c r="M21" s="105"/>
      <c r="N21" s="560"/>
      <c r="O21" s="560"/>
      <c r="P21" s="560">
        <f>+L21*($G$20+G21)/10</f>
        <v>0.3985106758811629</v>
      </c>
      <c r="Q21" s="105"/>
      <c r="R21" s="105"/>
      <c r="S21" s="105"/>
      <c r="T21" s="105"/>
      <c r="U21" s="560"/>
      <c r="V21" s="105"/>
      <c r="W21" s="805"/>
      <c r="X21" s="564"/>
      <c r="Y21" s="129"/>
    </row>
    <row r="22" spans="2:27" ht="30">
      <c r="B22" s="948" t="s">
        <v>1062</v>
      </c>
      <c r="C22" s="129"/>
      <c r="D22" s="14"/>
      <c r="E22" s="935"/>
      <c r="F22" s="564"/>
      <c r="G22" s="560">
        <v>0</v>
      </c>
      <c r="H22" s="105"/>
      <c r="I22" s="105"/>
      <c r="J22" s="105"/>
      <c r="K22" s="105"/>
      <c r="L22" s="560">
        <f>+L20*'F13 B'!J377</f>
        <v>2.0456767049592663</v>
      </c>
      <c r="M22" s="105"/>
      <c r="N22" s="560"/>
      <c r="O22" s="560"/>
      <c r="P22" s="560">
        <f t="shared" ref="P22:P24" si="3">+L22*($G$20+G22)/10</f>
        <v>0.92055451723166981</v>
      </c>
      <c r="Q22" s="105"/>
      <c r="R22" s="105"/>
      <c r="S22" s="105"/>
      <c r="T22" s="105"/>
      <c r="U22" s="560"/>
      <c r="V22" s="105"/>
      <c r="W22" s="805"/>
      <c r="X22" s="564"/>
      <c r="Y22" s="129"/>
    </row>
    <row r="23" spans="2:27">
      <c r="B23" s="129" t="s">
        <v>1063</v>
      </c>
      <c r="C23" s="129"/>
      <c r="D23" s="14"/>
      <c r="E23" s="935"/>
      <c r="F23" s="564"/>
      <c r="G23" s="560">
        <v>0.8</v>
      </c>
      <c r="H23" s="105"/>
      <c r="I23" s="105"/>
      <c r="J23" s="105"/>
      <c r="K23" s="105"/>
      <c r="L23" s="560">
        <f>+L20*'F13 B'!K377</f>
        <v>0.70540675635819161</v>
      </c>
      <c r="M23" s="105"/>
      <c r="N23" s="560"/>
      <c r="O23" s="560"/>
      <c r="P23" s="560">
        <f t="shared" si="3"/>
        <v>0.37386558086984156</v>
      </c>
      <c r="Q23" s="105"/>
      <c r="R23" s="105"/>
      <c r="S23" s="105"/>
      <c r="T23" s="105"/>
      <c r="U23" s="560"/>
      <c r="V23" s="105"/>
      <c r="W23" s="805"/>
      <c r="X23" s="564"/>
      <c r="Y23" s="129"/>
    </row>
    <row r="24" spans="2:27">
      <c r="B24" s="129" t="s">
        <v>1064</v>
      </c>
      <c r="C24" s="129"/>
      <c r="D24" s="14"/>
      <c r="E24" s="935"/>
      <c r="F24" s="564"/>
      <c r="G24" s="560">
        <v>1.1000000000000001</v>
      </c>
      <c r="H24" s="105"/>
      <c r="I24" s="105"/>
      <c r="J24" s="105"/>
      <c r="K24" s="105"/>
      <c r="L24" s="560">
        <f>+L20*'F13 B'!L377</f>
        <v>0.92054761907866522</v>
      </c>
      <c r="M24" s="105"/>
      <c r="N24" s="560"/>
      <c r="O24" s="560"/>
      <c r="P24" s="560">
        <f t="shared" si="3"/>
        <v>0.51550666668405243</v>
      </c>
      <c r="Q24" s="105"/>
      <c r="R24" s="105"/>
      <c r="S24" s="105"/>
      <c r="T24" s="105"/>
      <c r="U24" s="560"/>
      <c r="V24" s="105"/>
      <c r="W24" s="805"/>
      <c r="X24" s="564"/>
      <c r="Y24" s="129"/>
    </row>
    <row r="25" spans="2:27">
      <c r="B25" s="129"/>
      <c r="C25" s="129"/>
      <c r="D25" s="14"/>
      <c r="E25" s="935"/>
      <c r="F25" s="564"/>
      <c r="G25" s="105"/>
      <c r="H25" s="105"/>
      <c r="I25" s="105"/>
      <c r="J25" s="105"/>
      <c r="K25" s="105"/>
      <c r="L25" s="560"/>
      <c r="M25" s="105"/>
      <c r="N25" s="560"/>
      <c r="O25" s="560"/>
      <c r="P25" s="560"/>
      <c r="Q25" s="105"/>
      <c r="R25" s="105"/>
      <c r="S25" s="105"/>
      <c r="T25" s="105"/>
      <c r="U25" s="560"/>
      <c r="V25" s="105"/>
      <c r="W25" s="805"/>
      <c r="X25" s="564"/>
      <c r="Y25" s="129"/>
    </row>
    <row r="26" spans="2:27" s="216" customFormat="1" ht="14.25">
      <c r="B26" s="194" t="str">
        <f>'F1'!B35</f>
        <v>Sub-total HT</v>
      </c>
      <c r="C26" s="194">
        <f>+C20+C14</f>
        <v>46</v>
      </c>
      <c r="D26" s="41"/>
      <c r="E26" s="565"/>
      <c r="F26" s="565"/>
      <c r="G26" s="248"/>
      <c r="H26" s="248"/>
      <c r="I26" s="248"/>
      <c r="J26" s="248"/>
      <c r="K26" s="248"/>
      <c r="L26" s="551">
        <f>+L20+L14</f>
        <v>84.618412711600016</v>
      </c>
      <c r="M26" s="551">
        <f t="shared" ref="M26:W26" si="4">+M20+M14</f>
        <v>0</v>
      </c>
      <c r="N26" s="551">
        <f t="shared" si="4"/>
        <v>8.4308040000000002</v>
      </c>
      <c r="O26" s="551">
        <f t="shared" ca="1" si="4"/>
        <v>11.326552102099871</v>
      </c>
      <c r="P26" s="551">
        <f t="shared" si="4"/>
        <v>35.941762731608542</v>
      </c>
      <c r="Q26" s="551">
        <f t="shared" si="4"/>
        <v>0</v>
      </c>
      <c r="R26" s="551">
        <f t="shared" si="4"/>
        <v>0</v>
      </c>
      <c r="S26" s="845">
        <f t="shared" si="4"/>
        <v>-1.807790131</v>
      </c>
      <c r="T26" s="551">
        <f t="shared" si="4"/>
        <v>4.5812609999999997E-2</v>
      </c>
      <c r="U26" s="551">
        <f t="shared" ca="1" si="4"/>
        <v>53.937141312708412</v>
      </c>
      <c r="V26" s="248"/>
      <c r="W26" s="905">
        <f t="shared" ca="1" si="4"/>
        <v>53.937141312708412</v>
      </c>
      <c r="X26" s="565">
        <f t="shared" ca="1" si="2"/>
        <v>6.3741613183574142</v>
      </c>
      <c r="Y26" s="1015">
        <f ca="1">+X26/$X$48</f>
        <v>0.95363063417852711</v>
      </c>
    </row>
    <row r="27" spans="2:27">
      <c r="B27" s="194"/>
      <c r="C27" s="129"/>
      <c r="D27" s="564"/>
      <c r="E27" s="129"/>
      <c r="F27" s="129"/>
      <c r="G27" s="105"/>
      <c r="H27" s="105"/>
      <c r="I27" s="105"/>
      <c r="J27" s="105"/>
      <c r="K27" s="105"/>
      <c r="L27" s="560"/>
      <c r="M27" s="105"/>
      <c r="N27" s="560"/>
      <c r="O27" s="560"/>
      <c r="P27" s="560"/>
      <c r="Q27" s="105"/>
      <c r="R27" s="105"/>
      <c r="S27" s="105"/>
      <c r="T27" s="105"/>
      <c r="U27" s="560">
        <f t="shared" ref="U27:U45" si="5">SUM(M27:R27)</f>
        <v>0</v>
      </c>
      <c r="V27" s="105"/>
      <c r="W27" s="805">
        <f t="shared" si="1"/>
        <v>0</v>
      </c>
      <c r="X27" s="564"/>
      <c r="Y27" s="129"/>
    </row>
    <row r="28" spans="2:27">
      <c r="B28" s="194" t="str">
        <f>'F1'!B37</f>
        <v>LT Category</v>
      </c>
      <c r="C28" s="129"/>
      <c r="D28" s="564"/>
      <c r="E28" s="129"/>
      <c r="F28" s="129"/>
      <c r="G28" s="105"/>
      <c r="H28" s="105"/>
      <c r="I28" s="105"/>
      <c r="J28" s="105"/>
      <c r="K28" s="105"/>
      <c r="L28" s="560"/>
      <c r="M28" s="105"/>
      <c r="N28" s="560"/>
      <c r="O28" s="560"/>
      <c r="P28" s="560"/>
      <c r="Q28" s="105"/>
      <c r="R28" s="105"/>
      <c r="S28" s="105"/>
      <c r="T28" s="105"/>
      <c r="U28" s="560">
        <f t="shared" si="5"/>
        <v>0</v>
      </c>
      <c r="V28" s="105"/>
      <c r="W28" s="805">
        <f t="shared" si="1"/>
        <v>0</v>
      </c>
      <c r="X28" s="564"/>
      <c r="Y28" s="129"/>
    </row>
    <row r="29" spans="2:27" s="216" customFormat="1" ht="14.25">
      <c r="B29" s="194" t="str">
        <f>'F1'!B38</f>
        <v>LT I (G-P)</v>
      </c>
      <c r="C29" s="194">
        <f>'F13 B'!B95</f>
        <v>0</v>
      </c>
      <c r="D29" s="933">
        <v>270</v>
      </c>
      <c r="E29" s="194"/>
      <c r="F29" s="565">
        <f ca="1">+F20</f>
        <v>1.3385446192075825</v>
      </c>
      <c r="G29" s="248">
        <f>4.46+0.39</f>
        <v>4.8499999999999996</v>
      </c>
      <c r="H29" s="248"/>
      <c r="I29" s="248"/>
      <c r="J29" s="248"/>
      <c r="K29" s="248"/>
      <c r="L29" s="845">
        <f>'F1'!L38</f>
        <v>0</v>
      </c>
      <c r="M29" s="1198">
        <f>+C29*D29*12/10^7</f>
        <v>0</v>
      </c>
      <c r="N29" s="845">
        <f>D29*K29*12/10^7</f>
        <v>0</v>
      </c>
      <c r="O29" s="845">
        <f t="shared" ref="O29:O38" ca="1" si="6">+F29*L29/10</f>
        <v>0</v>
      </c>
      <c r="P29" s="845">
        <f t="shared" ref="P29:P37" si="7">G29*L29/10</f>
        <v>0</v>
      </c>
      <c r="Q29" s="248"/>
      <c r="R29" s="248"/>
      <c r="S29" s="248"/>
      <c r="T29" s="248"/>
      <c r="U29" s="845">
        <f t="shared" ca="1" si="5"/>
        <v>0</v>
      </c>
      <c r="V29" s="248"/>
      <c r="W29" s="806">
        <f t="shared" ca="1" si="1"/>
        <v>0</v>
      </c>
      <c r="X29" s="565"/>
      <c r="Y29" s="194"/>
      <c r="AA29" s="1017">
        <v>1</v>
      </c>
    </row>
    <row r="30" spans="2:27" s="216" customFormat="1" ht="14.25">
      <c r="B30" s="194" t="str">
        <f>'F1'!B39</f>
        <v>LT II (A)</v>
      </c>
      <c r="C30" s="194">
        <f>'F13 B'!B96</f>
        <v>32</v>
      </c>
      <c r="D30" s="933">
        <v>270</v>
      </c>
      <c r="E30" s="194"/>
      <c r="F30" s="565">
        <f ca="1">+F29</f>
        <v>1.3385446192075825</v>
      </c>
      <c r="G30" s="248">
        <f>4.55+0.35</f>
        <v>4.8999999999999995</v>
      </c>
      <c r="H30" s="248"/>
      <c r="I30" s="248"/>
      <c r="J30" s="248"/>
      <c r="K30" s="248"/>
      <c r="L30" s="845">
        <f>'F1'!L39</f>
        <v>0.63808618499999992</v>
      </c>
      <c r="M30" s="1199">
        <f>+C30*D30*12/10^7</f>
        <v>1.0368E-2</v>
      </c>
      <c r="N30" s="845">
        <f>D30*K30*12/10^7</f>
        <v>0</v>
      </c>
      <c r="O30" s="845">
        <f t="shared" ca="1" si="6"/>
        <v>8.5410682952244382E-2</v>
      </c>
      <c r="P30" s="845">
        <f t="shared" si="7"/>
        <v>0.31266223064999993</v>
      </c>
      <c r="Q30" s="248"/>
      <c r="R30" s="248"/>
      <c r="S30" s="248"/>
      <c r="T30" s="248"/>
      <c r="U30" s="845">
        <f t="shared" ref="U30:U31" ca="1" si="8">SUM(M30:T30)</f>
        <v>0.40844091360224433</v>
      </c>
      <c r="V30" s="248"/>
      <c r="W30" s="806">
        <f t="shared" ca="1" si="1"/>
        <v>0.40844091360224433</v>
      </c>
      <c r="X30" s="565">
        <f t="shared" ca="1" si="2"/>
        <v>6.4010305065959763</v>
      </c>
      <c r="Y30" s="1015">
        <f ca="1">+X30/$X$48</f>
        <v>0.95765050122299744</v>
      </c>
      <c r="AA30" s="1017">
        <v>1.01</v>
      </c>
    </row>
    <row r="31" spans="2:27" s="216" customFormat="1" ht="14.25">
      <c r="B31" s="194" t="str">
        <f>'F1'!B40</f>
        <v>LT II (B)</v>
      </c>
      <c r="C31" s="194">
        <f>'F13 B'!B97</f>
        <v>9</v>
      </c>
      <c r="D31" s="933"/>
      <c r="E31" s="933">
        <v>270</v>
      </c>
      <c r="F31" s="565">
        <f ca="1">+F30</f>
        <v>1.3385446192075825</v>
      </c>
      <c r="G31" s="905">
        <f>4.55</f>
        <v>4.55</v>
      </c>
      <c r="H31" s="194"/>
      <c r="I31" s="194"/>
      <c r="J31" s="194"/>
      <c r="K31" s="949">
        <f>+'F13.1'!K19</f>
        <v>266</v>
      </c>
      <c r="L31" s="565">
        <f>'F1'!L40</f>
        <v>0.37853184000000001</v>
      </c>
      <c r="M31" s="951">
        <f t="shared" ref="M31:M38" si="9">+J31*D31*12/10^7</f>
        <v>0</v>
      </c>
      <c r="N31" s="565">
        <f>E31*K31*12/10^7</f>
        <v>8.6183999999999997E-2</v>
      </c>
      <c r="O31" s="565">
        <f t="shared" ca="1" si="6"/>
        <v>5.0668175763074551E-2</v>
      </c>
      <c r="P31" s="565">
        <f>SUM(P32:P35)</f>
        <v>0.17116731962637197</v>
      </c>
      <c r="Q31" s="194"/>
      <c r="R31" s="194"/>
      <c r="S31" s="565">
        <f>+'F13.1'!U19</f>
        <v>-1.1580509999999998E-3</v>
      </c>
      <c r="T31" s="565">
        <f>+'F13.1'!V19</f>
        <v>3.8782800000000009E-3</v>
      </c>
      <c r="U31" s="565">
        <f t="shared" ca="1" si="8"/>
        <v>0.31073972438944653</v>
      </c>
      <c r="V31" s="194"/>
      <c r="W31" s="806">
        <f t="shared" ca="1" si="1"/>
        <v>0.31073972438944653</v>
      </c>
      <c r="X31" s="565">
        <f t="shared" ca="1" si="2"/>
        <v>8.2090775874876609</v>
      </c>
      <c r="Y31" s="1015">
        <f ca="1">+X31/$X$48</f>
        <v>1.2281502577022845</v>
      </c>
      <c r="AA31" s="1017">
        <v>1.3</v>
      </c>
    </row>
    <row r="32" spans="2:27">
      <c r="B32" s="129" t="s">
        <v>1061</v>
      </c>
      <c r="C32" s="129"/>
      <c r="D32" s="935"/>
      <c r="E32" s="160"/>
      <c r="F32" s="129"/>
      <c r="G32" s="564">
        <v>-1.5</v>
      </c>
      <c r="H32" s="129"/>
      <c r="I32" s="129"/>
      <c r="J32" s="129"/>
      <c r="K32" s="932"/>
      <c r="L32" s="564">
        <f>+L31*'F13 B'!I382</f>
        <v>9.128274218908379E-2</v>
      </c>
      <c r="M32" s="947"/>
      <c r="N32" s="564"/>
      <c r="O32" s="564"/>
      <c r="P32" s="564">
        <f>+L32*($G$31+G32)/10</f>
        <v>2.7841236367670552E-2</v>
      </c>
      <c r="Q32" s="129"/>
      <c r="R32" s="129"/>
      <c r="S32" s="129"/>
      <c r="T32" s="129"/>
      <c r="U32" s="564"/>
      <c r="V32" s="129"/>
      <c r="W32" s="805"/>
      <c r="X32" s="564"/>
      <c r="Y32" s="129"/>
    </row>
    <row r="33" spans="2:27" ht="30">
      <c r="B33" s="948" t="s">
        <v>1062</v>
      </c>
      <c r="C33" s="129"/>
      <c r="D33" s="935"/>
      <c r="E33" s="160"/>
      <c r="F33" s="129"/>
      <c r="G33" s="564">
        <v>0</v>
      </c>
      <c r="H33" s="129"/>
      <c r="I33" s="129"/>
      <c r="J33" s="129"/>
      <c r="K33" s="932"/>
      <c r="L33" s="564">
        <f>+L31*'F13 B'!J382</f>
        <v>0.15795163606737356</v>
      </c>
      <c r="M33" s="947"/>
      <c r="N33" s="564"/>
      <c r="O33" s="564"/>
      <c r="P33" s="564">
        <f t="shared" ref="P33:P35" si="10">+L33*($G$31+G33)/10</f>
        <v>7.1867994410654973E-2</v>
      </c>
      <c r="Q33" s="129"/>
      <c r="R33" s="129"/>
      <c r="S33" s="129"/>
      <c r="T33" s="129"/>
      <c r="U33" s="564"/>
      <c r="V33" s="129"/>
      <c r="W33" s="805"/>
      <c r="X33" s="564"/>
      <c r="Y33" s="129"/>
    </row>
    <row r="34" spans="2:27">
      <c r="B34" s="129" t="s">
        <v>1063</v>
      </c>
      <c r="C34" s="129"/>
      <c r="D34" s="935"/>
      <c r="E34" s="160"/>
      <c r="F34" s="129"/>
      <c r="G34" s="564">
        <v>0.8</v>
      </c>
      <c r="H34" s="129"/>
      <c r="I34" s="129"/>
      <c r="J34" s="129"/>
      <c r="K34" s="932"/>
      <c r="L34" s="564">
        <f>+L31*'F13 B'!K382</f>
        <v>5.3165901235171016E-2</v>
      </c>
      <c r="M34" s="947"/>
      <c r="N34" s="564"/>
      <c r="O34" s="564"/>
      <c r="P34" s="564">
        <f t="shared" si="10"/>
        <v>2.8443757160816492E-2</v>
      </c>
      <c r="Q34" s="129"/>
      <c r="R34" s="129"/>
      <c r="S34" s="129"/>
      <c r="T34" s="129"/>
      <c r="U34" s="564"/>
      <c r="V34" s="129"/>
      <c r="W34" s="805"/>
      <c r="X34" s="564"/>
      <c r="Y34" s="129"/>
    </row>
    <row r="35" spans="2:27">
      <c r="B35" s="129" t="s">
        <v>1064</v>
      </c>
      <c r="C35" s="129"/>
      <c r="D35" s="935"/>
      <c r="E35" s="160"/>
      <c r="F35" s="129"/>
      <c r="G35" s="564">
        <v>1.1000000000000001</v>
      </c>
      <c r="H35" s="129"/>
      <c r="I35" s="129"/>
      <c r="J35" s="129"/>
      <c r="K35" s="932"/>
      <c r="L35" s="564">
        <f>+L31*'F13 B'!L382</f>
        <v>7.613156050837161E-2</v>
      </c>
      <c r="M35" s="947"/>
      <c r="N35" s="564"/>
      <c r="O35" s="564"/>
      <c r="P35" s="564">
        <f t="shared" si="10"/>
        <v>4.3014331687229963E-2</v>
      </c>
      <c r="Q35" s="129"/>
      <c r="R35" s="129"/>
      <c r="S35" s="129"/>
      <c r="T35" s="129"/>
      <c r="U35" s="564"/>
      <c r="V35" s="129"/>
      <c r="W35" s="805"/>
      <c r="X35" s="564"/>
      <c r="Y35" s="129"/>
    </row>
    <row r="36" spans="2:27">
      <c r="B36" s="129"/>
      <c r="C36" s="129"/>
      <c r="D36" s="935"/>
      <c r="E36" s="160"/>
      <c r="F36" s="129"/>
      <c r="G36" s="129"/>
      <c r="H36" s="129"/>
      <c r="I36" s="129"/>
      <c r="J36" s="129"/>
      <c r="K36" s="932"/>
      <c r="L36" s="564"/>
      <c r="M36" s="947"/>
      <c r="N36" s="564"/>
      <c r="O36" s="564"/>
      <c r="P36" s="564"/>
      <c r="Q36" s="129"/>
      <c r="R36" s="129"/>
      <c r="S36" s="129"/>
      <c r="T36" s="129"/>
      <c r="U36" s="564"/>
      <c r="V36" s="129"/>
      <c r="W36" s="805"/>
      <c r="X36" s="564"/>
      <c r="Y36" s="129"/>
    </row>
    <row r="37" spans="2:27" s="216" customFormat="1" ht="14.25">
      <c r="B37" s="194" t="str">
        <f>'F1'!B41</f>
        <v>LT III (A)</v>
      </c>
      <c r="C37" s="194">
        <f>'F13 B'!B98</f>
        <v>1</v>
      </c>
      <c r="D37" s="933">
        <v>270</v>
      </c>
      <c r="F37" s="565">
        <f ca="1">+F31</f>
        <v>1.3385446192075825</v>
      </c>
      <c r="G37" s="194">
        <f>4.55</f>
        <v>4.55</v>
      </c>
      <c r="H37" s="194"/>
      <c r="I37" s="194"/>
      <c r="J37" s="194"/>
      <c r="K37" s="194"/>
      <c r="L37" s="565">
        <f>'F1'!L41</f>
        <v>6.3015919999999991E-3</v>
      </c>
      <c r="M37" s="951">
        <f>+C37*D37*12/10^7</f>
        <v>3.2400000000000001E-4</v>
      </c>
      <c r="N37" s="565">
        <f>E38*K37*12/10^7</f>
        <v>0</v>
      </c>
      <c r="O37" s="565">
        <f t="shared" ca="1" si="6"/>
        <v>8.4349620640415473E-4</v>
      </c>
      <c r="P37" s="565">
        <f t="shared" si="7"/>
        <v>2.8672243599999992E-3</v>
      </c>
      <c r="Q37" s="194"/>
      <c r="R37" s="194"/>
      <c r="S37" s="194"/>
      <c r="T37" s="194"/>
      <c r="U37" s="565">
        <f t="shared" ref="U37:U38" ca="1" si="11">SUM(M37:T37)</f>
        <v>4.0347205664041539E-3</v>
      </c>
      <c r="V37" s="194"/>
      <c r="W37" s="806">
        <f t="shared" ca="1" si="1"/>
        <v>4.0347205664041539E-3</v>
      </c>
      <c r="X37" s="565">
        <f t="shared" ca="1" si="2"/>
        <v>6.4027004071418059</v>
      </c>
      <c r="Y37" s="1015">
        <f ca="1">+X37/$X$48</f>
        <v>0.95790033304196132</v>
      </c>
      <c r="AA37" s="1017">
        <v>1</v>
      </c>
    </row>
    <row r="38" spans="2:27" s="216" customFormat="1" ht="14.25">
      <c r="B38" s="194" t="str">
        <f>'F1'!B42</f>
        <v>LT III (B)</v>
      </c>
      <c r="C38" s="194">
        <f>'F13 B'!B99</f>
        <v>29</v>
      </c>
      <c r="E38" s="933">
        <v>270</v>
      </c>
      <c r="F38" s="565">
        <f ca="1">+F37</f>
        <v>1.3385446192075825</v>
      </c>
      <c r="G38" s="905">
        <f>4.55</f>
        <v>4.55</v>
      </c>
      <c r="H38" s="194"/>
      <c r="I38" s="194"/>
      <c r="J38" s="194"/>
      <c r="K38" s="194">
        <f>+'F13.1'!K21</f>
        <v>2708</v>
      </c>
      <c r="L38" s="565">
        <f>'F1'!L42</f>
        <v>7.1999719308000003</v>
      </c>
      <c r="M38" s="950">
        <f t="shared" si="9"/>
        <v>0</v>
      </c>
      <c r="N38" s="565">
        <f>D37*K38*12/10^7</f>
        <v>0.87739199999999995</v>
      </c>
      <c r="O38" s="565">
        <f t="shared" ca="1" si="6"/>
        <v>0.96374836864179692</v>
      </c>
      <c r="P38" s="565">
        <f>SUM(P39:P42)</f>
        <v>3.2087169050589717</v>
      </c>
      <c r="Q38" s="194"/>
      <c r="R38" s="194"/>
      <c r="S38" s="565">
        <f>+'F13.1'!U21</f>
        <v>-0.22721636800000003</v>
      </c>
      <c r="T38" s="565">
        <f>+'F13.1'!V21</f>
        <v>1.2884400000000001E-2</v>
      </c>
      <c r="U38" s="565">
        <f t="shared" ca="1" si="11"/>
        <v>4.8355253057007683</v>
      </c>
      <c r="V38" s="194"/>
      <c r="W38" s="806">
        <f t="shared" ca="1" si="1"/>
        <v>4.8355253057007683</v>
      </c>
      <c r="X38" s="565">
        <f t="shared" ca="1" si="2"/>
        <v>6.716033551485646</v>
      </c>
      <c r="Y38" s="1015">
        <f ca="1">+X38/$X$48</f>
        <v>1.0047777291770765</v>
      </c>
      <c r="AA38" s="1017">
        <v>1.03</v>
      </c>
    </row>
    <row r="39" spans="2:27">
      <c r="B39" s="129" t="s">
        <v>1061</v>
      </c>
      <c r="C39" s="129"/>
      <c r="E39" s="129"/>
      <c r="F39" s="129"/>
      <c r="G39" s="564">
        <v>-1.5</v>
      </c>
      <c r="H39" s="129"/>
      <c r="I39" s="129"/>
      <c r="J39" s="129"/>
      <c r="K39" s="129"/>
      <c r="L39" s="564">
        <f>+L38*'F13 B'!I384</f>
        <v>1.9410814310768232</v>
      </c>
      <c r="M39" s="936"/>
      <c r="N39" s="564"/>
      <c r="O39" s="564"/>
      <c r="P39" s="564">
        <f>+L39*($G$38+G39)/10</f>
        <v>0.59202983647843099</v>
      </c>
      <c r="Q39" s="129"/>
      <c r="R39" s="129"/>
      <c r="S39" s="129"/>
      <c r="T39" s="129"/>
      <c r="U39" s="564"/>
      <c r="V39" s="129"/>
      <c r="W39" s="805"/>
      <c r="X39" s="564"/>
      <c r="Y39" s="129"/>
    </row>
    <row r="40" spans="2:27" ht="30">
      <c r="B40" s="948" t="s">
        <v>1062</v>
      </c>
      <c r="C40" s="129"/>
      <c r="E40" s="129"/>
      <c r="F40" s="129"/>
      <c r="G40" s="564">
        <v>0</v>
      </c>
      <c r="H40" s="129"/>
      <c r="I40" s="129"/>
      <c r="J40" s="129"/>
      <c r="K40" s="129"/>
      <c r="L40" s="564">
        <f>+L38*'F13 B'!J384</f>
        <v>2.9486306374266626</v>
      </c>
      <c r="M40" s="936"/>
      <c r="N40" s="564"/>
      <c r="O40" s="564"/>
      <c r="P40" s="564">
        <f t="shared" ref="P40:P42" si="12">+L40*($G$38+G40)/10</f>
        <v>1.3416269400291314</v>
      </c>
      <c r="Q40" s="129"/>
      <c r="R40" s="129"/>
      <c r="S40" s="129"/>
      <c r="T40" s="129"/>
      <c r="U40" s="564"/>
      <c r="V40" s="129"/>
      <c r="W40" s="805"/>
      <c r="X40" s="564"/>
      <c r="Y40" s="129"/>
    </row>
    <row r="41" spans="2:27">
      <c r="B41" s="129" t="s">
        <v>1063</v>
      </c>
      <c r="C41" s="129"/>
      <c r="E41" s="129"/>
      <c r="F41" s="129"/>
      <c r="G41" s="564">
        <v>0.8</v>
      </c>
      <c r="H41" s="129"/>
      <c r="I41" s="129"/>
      <c r="J41" s="129"/>
      <c r="K41" s="129"/>
      <c r="L41" s="564">
        <f>+L38*'F13 B'!K384</f>
        <v>1.0078897882040387</v>
      </c>
      <c r="M41" s="936"/>
      <c r="N41" s="564"/>
      <c r="O41" s="564"/>
      <c r="P41" s="564">
        <f t="shared" si="12"/>
        <v>0.53922103668916077</v>
      </c>
      <c r="Q41" s="129"/>
      <c r="R41" s="129"/>
      <c r="S41" s="129"/>
      <c r="T41" s="129"/>
      <c r="U41" s="564"/>
      <c r="V41" s="129"/>
      <c r="W41" s="805"/>
      <c r="X41" s="564"/>
      <c r="Y41" s="129"/>
    </row>
    <row r="42" spans="2:27">
      <c r="B42" s="129" t="s">
        <v>1064</v>
      </c>
      <c r="C42" s="129"/>
      <c r="E42" s="129"/>
      <c r="F42" s="129"/>
      <c r="G42" s="564">
        <v>1.1000000000000001</v>
      </c>
      <c r="H42" s="129"/>
      <c r="I42" s="129"/>
      <c r="J42" s="129"/>
      <c r="K42" s="129"/>
      <c r="L42" s="564">
        <f>+L38*'F13 B'!L384</f>
        <v>1.3023700740924753</v>
      </c>
      <c r="M42" s="936"/>
      <c r="N42" s="564"/>
      <c r="O42" s="564"/>
      <c r="P42" s="564">
        <f t="shared" si="12"/>
        <v>0.73583909186224861</v>
      </c>
      <c r="Q42" s="129"/>
      <c r="R42" s="129"/>
      <c r="S42" s="129"/>
      <c r="T42" s="129"/>
      <c r="U42" s="564"/>
      <c r="V42" s="129"/>
      <c r="W42" s="805"/>
      <c r="X42" s="564"/>
      <c r="Y42" s="129"/>
    </row>
    <row r="43" spans="2:27">
      <c r="B43" s="129"/>
      <c r="C43" s="129"/>
      <c r="E43" s="129"/>
      <c r="F43" s="129"/>
      <c r="G43" s="129"/>
      <c r="H43" s="129"/>
      <c r="I43" s="129"/>
      <c r="J43" s="129"/>
      <c r="K43" s="129"/>
      <c r="L43" s="564"/>
      <c r="M43" s="936"/>
      <c r="N43" s="564"/>
      <c r="O43" s="564"/>
      <c r="P43" s="564"/>
      <c r="Q43" s="129"/>
      <c r="R43" s="129"/>
      <c r="S43" s="129"/>
      <c r="T43" s="129"/>
      <c r="U43" s="564"/>
      <c r="V43" s="129"/>
      <c r="W43" s="805"/>
      <c r="X43" s="564"/>
      <c r="Y43" s="129"/>
    </row>
    <row r="44" spans="2:27" s="216" customFormat="1" ht="14.25">
      <c r="B44" s="194" t="str">
        <f>'F1'!B43</f>
        <v>Sub-total LT</v>
      </c>
      <c r="C44" s="194">
        <f>SUM(C29:C38)</f>
        <v>71</v>
      </c>
      <c r="D44" s="565"/>
      <c r="E44" s="194"/>
      <c r="F44" s="194"/>
      <c r="G44" s="194"/>
      <c r="H44" s="194"/>
      <c r="I44" s="194"/>
      <c r="J44" s="194"/>
      <c r="K44" s="194"/>
      <c r="L44" s="565">
        <f>+L38+L37+L31+L30+L29</f>
        <v>8.2228915477999998</v>
      </c>
      <c r="M44" s="565">
        <f t="shared" ref="M44:T44" si="13">+M38+M37+M31+M30+M29</f>
        <v>1.0692E-2</v>
      </c>
      <c r="N44" s="565">
        <f t="shared" si="13"/>
        <v>0.96357599999999999</v>
      </c>
      <c r="O44" s="565">
        <f t="shared" ca="1" si="13"/>
        <v>1.1006707235635198</v>
      </c>
      <c r="P44" s="565">
        <f t="shared" si="13"/>
        <v>3.6954136796953438</v>
      </c>
      <c r="Q44" s="565">
        <f t="shared" si="13"/>
        <v>0</v>
      </c>
      <c r="R44" s="565">
        <f t="shared" si="13"/>
        <v>0</v>
      </c>
      <c r="S44" s="565">
        <f t="shared" si="13"/>
        <v>-0.22837441900000002</v>
      </c>
      <c r="T44" s="565">
        <f t="shared" si="13"/>
        <v>1.6762680000000002E-2</v>
      </c>
      <c r="U44" s="565">
        <f ca="1">SUM(M44:T44)</f>
        <v>5.5587406642588642</v>
      </c>
      <c r="V44" s="194"/>
      <c r="W44" s="565">
        <f ca="1">SUM(W29:W38)</f>
        <v>5.5587406642588633</v>
      </c>
      <c r="X44" s="565">
        <f t="shared" ca="1" si="2"/>
        <v>6.7600802369162718</v>
      </c>
      <c r="Y44" s="1015">
        <f ca="1">+X44/$X$48</f>
        <v>1.0113675009859102</v>
      </c>
    </row>
    <row r="45" spans="2:27">
      <c r="B45" s="194"/>
      <c r="C45" s="129"/>
      <c r="D45" s="564"/>
      <c r="E45" s="129"/>
      <c r="F45" s="129"/>
      <c r="G45" s="129"/>
      <c r="H45" s="129"/>
      <c r="I45" s="129"/>
      <c r="J45" s="129"/>
      <c r="K45" s="129"/>
      <c r="L45" s="129"/>
      <c r="M45" s="129"/>
      <c r="N45" s="564"/>
      <c r="O45" s="564"/>
      <c r="P45" s="564"/>
      <c r="Q45" s="129"/>
      <c r="R45" s="129"/>
      <c r="S45" s="129"/>
      <c r="T45" s="129"/>
      <c r="U45" s="564">
        <f t="shared" si="5"/>
        <v>0</v>
      </c>
      <c r="V45" s="129"/>
      <c r="W45" s="805">
        <f t="shared" si="1"/>
        <v>0</v>
      </c>
      <c r="X45" s="129"/>
      <c r="Y45" s="129"/>
    </row>
    <row r="46" spans="2:27">
      <c r="B46" s="194" t="s">
        <v>115</v>
      </c>
      <c r="C46" s="194">
        <f>C44+C26</f>
        <v>117</v>
      </c>
      <c r="D46" s="565"/>
      <c r="E46" s="129"/>
      <c r="F46" s="129"/>
      <c r="G46" s="129"/>
      <c r="H46" s="129"/>
      <c r="I46" s="129"/>
      <c r="J46" s="129"/>
      <c r="K46" s="129"/>
      <c r="L46" s="565">
        <f t="shared" ref="L46:T46" si="14">L44+L26</f>
        <v>92.841304259400019</v>
      </c>
      <c r="M46" s="934">
        <f t="shared" si="14"/>
        <v>1.0692E-2</v>
      </c>
      <c r="N46" s="565">
        <f t="shared" si="14"/>
        <v>9.39438</v>
      </c>
      <c r="O46" s="565">
        <f t="shared" ca="1" si="14"/>
        <v>12.427222825663391</v>
      </c>
      <c r="P46" s="565">
        <f t="shared" si="14"/>
        <v>39.637176411303884</v>
      </c>
      <c r="Q46" s="194">
        <f t="shared" si="14"/>
        <v>0</v>
      </c>
      <c r="R46" s="194">
        <f t="shared" si="14"/>
        <v>0</v>
      </c>
      <c r="S46" s="565">
        <f t="shared" si="14"/>
        <v>-2.0361645500000001</v>
      </c>
      <c r="T46" s="565">
        <f t="shared" si="14"/>
        <v>6.2575290000000006E-2</v>
      </c>
      <c r="U46" s="565">
        <f ca="1">SUM(M46:T46)</f>
        <v>59.495881976967269</v>
      </c>
      <c r="V46" s="129"/>
      <c r="W46" s="565">
        <f ca="1">W44+W26</f>
        <v>59.495881976967276</v>
      </c>
      <c r="X46" s="565">
        <f t="shared" ca="1" si="2"/>
        <v>6.4083418960525238</v>
      </c>
      <c r="Y46" s="1015">
        <f ca="1">+X46/$X$48</f>
        <v>0.95874434943548204</v>
      </c>
    </row>
    <row r="47" spans="2:27">
      <c r="B47" s="181"/>
      <c r="C47" s="253"/>
      <c r="D47" s="253"/>
      <c r="E47" s="253"/>
      <c r="F47" s="253"/>
      <c r="G47" s="253"/>
      <c r="H47" s="253"/>
      <c r="I47" s="253"/>
      <c r="J47" s="253"/>
      <c r="K47" s="253"/>
      <c r="L47" s="253"/>
      <c r="M47" s="253"/>
      <c r="N47" s="253"/>
      <c r="O47" s="253"/>
      <c r="P47" s="253"/>
      <c r="Q47" s="253"/>
      <c r="R47" s="253"/>
      <c r="S47" s="253"/>
      <c r="T47" s="253"/>
      <c r="V47" s="253"/>
    </row>
    <row r="48" spans="2:27">
      <c r="B48" s="255" t="s">
        <v>601</v>
      </c>
      <c r="C48" s="255"/>
      <c r="D48" s="255"/>
      <c r="E48" s="255"/>
      <c r="F48" s="255"/>
      <c r="G48" s="255"/>
      <c r="H48" s="255"/>
      <c r="I48" s="255"/>
      <c r="J48" s="255"/>
      <c r="K48" s="255"/>
      <c r="L48" s="255"/>
      <c r="M48" s="255"/>
      <c r="N48" s="255"/>
      <c r="O48" s="255"/>
      <c r="P48" s="255"/>
      <c r="Q48" s="255"/>
      <c r="R48" s="255"/>
      <c r="S48" s="255"/>
      <c r="T48" s="255"/>
      <c r="U48" s="255"/>
      <c r="V48" s="255"/>
      <c r="W48" s="1013">
        <f ca="1">+'ARR-Summary'!Q84</f>
        <v>62.056044462738193</v>
      </c>
      <c r="X48" s="1025">
        <f ca="1">+'ARR-Summary'!Q89</f>
        <v>6.6840987379230112</v>
      </c>
    </row>
    <row r="49" spans="2:23">
      <c r="B49" s="246" t="s">
        <v>600</v>
      </c>
      <c r="C49" s="255"/>
      <c r="D49" s="255"/>
      <c r="E49" s="255"/>
      <c r="F49" s="255"/>
      <c r="G49" s="255"/>
      <c r="H49" s="255"/>
      <c r="I49" s="255"/>
      <c r="J49" s="255"/>
      <c r="K49" s="255"/>
      <c r="L49" s="255"/>
      <c r="M49" s="255"/>
      <c r="N49" s="255"/>
      <c r="O49" s="255"/>
      <c r="P49" s="255"/>
      <c r="Q49" s="255"/>
      <c r="R49" s="255"/>
      <c r="S49" s="255"/>
      <c r="T49" s="255"/>
      <c r="U49" s="255"/>
      <c r="V49" s="255"/>
      <c r="W49" s="255"/>
    </row>
    <row r="50" spans="2:23">
      <c r="B50" s="18" t="s">
        <v>602</v>
      </c>
      <c r="C50" s="255"/>
      <c r="D50" s="255"/>
      <c r="E50" s="255"/>
      <c r="F50" s="255"/>
      <c r="G50" s="255"/>
      <c r="H50" s="255"/>
      <c r="I50" s="255"/>
      <c r="J50" s="255"/>
      <c r="K50" s="255"/>
      <c r="L50" s="255"/>
      <c r="M50" s="255"/>
      <c r="N50" s="255"/>
      <c r="O50" s="255"/>
      <c r="P50" s="255"/>
      <c r="Q50" s="255"/>
      <c r="R50" s="255"/>
      <c r="S50" s="255"/>
      <c r="T50" s="255"/>
      <c r="U50" s="255"/>
      <c r="V50" s="255"/>
      <c r="W50" s="255"/>
    </row>
  </sheetData>
  <mergeCells count="9">
    <mergeCell ref="W10:W11"/>
    <mergeCell ref="X10:X11"/>
    <mergeCell ref="Y10:Y11"/>
    <mergeCell ref="B10:B11"/>
    <mergeCell ref="C10:C11"/>
    <mergeCell ref="D10:I10"/>
    <mergeCell ref="J10:L10"/>
    <mergeCell ref="M10:U10"/>
    <mergeCell ref="V10:V11"/>
  </mergeCells>
  <pageMargins left="0.70866141732283505" right="0.70866141732283505" top="0.74803149606299202" bottom="0.74803149606299202" header="0.31496062992126" footer="0.31496062992126"/>
  <pageSetup scale="38"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C000"/>
    <pageSetUpPr fitToPage="1"/>
  </sheetPr>
  <dimension ref="B2:Z50"/>
  <sheetViews>
    <sheetView showGridLines="0" view="pageBreakPreview" topLeftCell="B12" zoomScale="60" zoomScaleNormal="50" workbookViewId="0">
      <selection activeCell="C11" sqref="C11:C12"/>
    </sheetView>
  </sheetViews>
  <sheetFormatPr defaultColWidth="8.85546875" defaultRowHeight="15"/>
  <cols>
    <col min="1" max="1" width="8.85546875" style="1"/>
    <col min="2" max="2" width="20.85546875" style="1" customWidth="1"/>
    <col min="3" max="3" width="14" style="1" customWidth="1"/>
    <col min="4" max="13" width="11.5703125" style="1" customWidth="1"/>
    <col min="14" max="15" width="15.42578125" style="1" customWidth="1"/>
    <col min="16" max="23" width="11.5703125" style="1" customWidth="1"/>
    <col min="24" max="24" width="10.42578125" style="1" customWidth="1"/>
    <col min="25" max="25" width="13.85546875" style="1" customWidth="1"/>
    <col min="26" max="26" width="12.42578125" style="1" customWidth="1"/>
    <col min="27" max="16384" width="8.85546875" style="1"/>
  </cols>
  <sheetData>
    <row r="2" spans="2:26">
      <c r="C2" s="375"/>
      <c r="D2" s="375"/>
      <c r="E2" s="375"/>
      <c r="F2" s="375"/>
      <c r="G2" s="375"/>
      <c r="H2" s="375"/>
      <c r="J2" s="375" t="s">
        <v>906</v>
      </c>
      <c r="K2" s="375"/>
      <c r="L2" s="375"/>
      <c r="M2" s="375"/>
      <c r="N2" s="375"/>
      <c r="O2" s="375"/>
      <c r="P2" s="375"/>
    </row>
    <row r="3" spans="2:26">
      <c r="C3" s="189"/>
      <c r="D3" s="189"/>
      <c r="E3" s="189"/>
      <c r="F3" s="189"/>
      <c r="G3" s="189"/>
      <c r="H3" s="189"/>
      <c r="J3" s="990" t="s">
        <v>722</v>
      </c>
      <c r="K3" s="189"/>
      <c r="L3" s="189"/>
      <c r="M3" s="189"/>
      <c r="N3" s="189"/>
      <c r="O3" s="189"/>
      <c r="P3" s="189"/>
    </row>
    <row r="4" spans="2:26">
      <c r="C4" s="189"/>
      <c r="D4" s="189"/>
      <c r="E4" s="189"/>
      <c r="F4" s="189"/>
      <c r="G4" s="189"/>
      <c r="H4" s="189"/>
      <c r="J4" s="189" t="s">
        <v>704</v>
      </c>
      <c r="K4" s="189"/>
      <c r="L4" s="189"/>
      <c r="M4" s="189"/>
      <c r="N4" s="189"/>
      <c r="O4" s="189"/>
      <c r="P4" s="189"/>
    </row>
    <row r="5" spans="2:26">
      <c r="B5" s="189"/>
      <c r="C5" s="189"/>
      <c r="D5" s="189"/>
      <c r="E5" s="189"/>
      <c r="F5" s="189"/>
      <c r="G5" s="189"/>
      <c r="H5" s="189"/>
      <c r="I5" s="189"/>
      <c r="J5" s="189"/>
      <c r="K5" s="189"/>
      <c r="L5" s="189"/>
      <c r="M5" s="189"/>
      <c r="N5" s="189"/>
      <c r="O5" s="189"/>
      <c r="P5" s="189"/>
    </row>
    <row r="6" spans="2:26">
      <c r="B6" s="189"/>
      <c r="C6" s="189"/>
      <c r="D6" s="189"/>
      <c r="E6" s="189"/>
      <c r="F6" s="189"/>
      <c r="G6" s="189"/>
      <c r="H6" s="189"/>
      <c r="I6" s="189"/>
      <c r="J6" s="189"/>
      <c r="K6" s="189"/>
      <c r="L6" s="189"/>
      <c r="M6" s="189"/>
      <c r="N6" s="189"/>
      <c r="O6" s="189"/>
      <c r="P6" s="189"/>
    </row>
    <row r="7" spans="2:26">
      <c r="B7" s="252" t="s">
        <v>390</v>
      </c>
      <c r="C7" s="253"/>
      <c r="D7" s="253"/>
      <c r="E7" s="253"/>
      <c r="F7" s="253"/>
      <c r="G7" s="253"/>
      <c r="H7" s="253"/>
      <c r="I7" s="253"/>
      <c r="J7" s="253"/>
      <c r="K7" s="253"/>
      <c r="L7" s="253"/>
      <c r="M7" s="253"/>
      <c r="N7" s="253"/>
      <c r="O7" s="253"/>
      <c r="P7" s="253"/>
      <c r="Q7" s="253"/>
      <c r="R7" s="253"/>
      <c r="S7" s="253"/>
      <c r="T7" s="253"/>
      <c r="U7" s="253"/>
      <c r="V7" s="253"/>
      <c r="W7" s="253"/>
    </row>
    <row r="8" spans="2:26">
      <c r="B8" s="252" t="s">
        <v>1199</v>
      </c>
      <c r="C8" s="253"/>
      <c r="D8" s="253"/>
      <c r="E8" s="253"/>
      <c r="F8" s="253"/>
      <c r="G8" s="253"/>
      <c r="H8" s="253"/>
      <c r="I8" s="253"/>
      <c r="J8" s="253"/>
      <c r="K8" s="253"/>
      <c r="L8" s="253"/>
      <c r="M8" s="253"/>
      <c r="N8" s="253"/>
      <c r="O8" s="253"/>
      <c r="P8" s="253"/>
      <c r="Q8" s="253"/>
      <c r="R8" s="253"/>
      <c r="S8" s="253"/>
      <c r="T8" s="253"/>
      <c r="U8" s="253"/>
      <c r="V8" s="253"/>
      <c r="W8" s="253"/>
    </row>
    <row r="9" spans="2:26">
      <c r="B9" s="253"/>
      <c r="C9" s="253"/>
      <c r="D9" s="253"/>
      <c r="E9" s="253"/>
      <c r="F9" s="253"/>
      <c r="G9" s="253"/>
      <c r="H9" s="253"/>
      <c r="I9" s="253"/>
      <c r="J9" s="253"/>
      <c r="K9" s="253"/>
      <c r="L9" s="253"/>
      <c r="M9" s="253"/>
      <c r="N9" s="253"/>
      <c r="O9" s="253"/>
      <c r="P9" s="253"/>
      <c r="Q9" s="253"/>
      <c r="R9" s="253"/>
      <c r="S9" s="253"/>
      <c r="T9" s="253"/>
      <c r="U9" s="253"/>
      <c r="V9" s="253"/>
      <c r="W9" s="253"/>
    </row>
    <row r="10" spans="2:26" ht="13.9" customHeight="1">
      <c r="B10" s="1521"/>
      <c r="C10" s="1517" t="s">
        <v>368</v>
      </c>
      <c r="D10" s="1519" t="s">
        <v>376</v>
      </c>
      <c r="E10" s="1519"/>
      <c r="F10" s="1519"/>
      <c r="G10" s="1519"/>
      <c r="H10" s="1519"/>
      <c r="I10" s="1519"/>
      <c r="J10" s="1517" t="s">
        <v>377</v>
      </c>
      <c r="K10" s="1517"/>
      <c r="L10" s="1517"/>
      <c r="M10" s="1520" t="s">
        <v>378</v>
      </c>
      <c r="N10" s="1520"/>
      <c r="O10" s="1520"/>
      <c r="P10" s="1520"/>
      <c r="Q10" s="1520"/>
      <c r="R10" s="1520"/>
      <c r="S10" s="1520"/>
      <c r="T10" s="1520"/>
      <c r="U10" s="1520"/>
      <c r="V10" s="1517" t="s">
        <v>372</v>
      </c>
      <c r="W10" s="1517" t="s">
        <v>379</v>
      </c>
      <c r="X10" s="1517" t="s">
        <v>380</v>
      </c>
      <c r="Y10" s="1517" t="s">
        <v>479</v>
      </c>
    </row>
    <row r="11" spans="2:26" ht="57">
      <c r="B11" s="1521"/>
      <c r="C11" s="1517"/>
      <c r="D11" s="989" t="s">
        <v>1092</v>
      </c>
      <c r="E11" s="989" t="s">
        <v>1089</v>
      </c>
      <c r="F11" s="989" t="s">
        <v>1091</v>
      </c>
      <c r="G11" s="989" t="s">
        <v>1090</v>
      </c>
      <c r="H11" s="989" t="s">
        <v>603</v>
      </c>
      <c r="I11" s="989" t="s">
        <v>381</v>
      </c>
      <c r="J11" s="989" t="s">
        <v>478</v>
      </c>
      <c r="K11" s="989" t="s">
        <v>382</v>
      </c>
      <c r="L11" s="989" t="s">
        <v>369</v>
      </c>
      <c r="M11" s="989" t="s">
        <v>383</v>
      </c>
      <c r="N11" s="989" t="s">
        <v>384</v>
      </c>
      <c r="O11" s="989" t="s">
        <v>1093</v>
      </c>
      <c r="P11" s="989" t="s">
        <v>385</v>
      </c>
      <c r="Q11" s="989" t="s">
        <v>604</v>
      </c>
      <c r="R11" s="989" t="s">
        <v>386</v>
      </c>
      <c r="S11" s="339" t="s">
        <v>1108</v>
      </c>
      <c r="T11" s="339" t="s">
        <v>840</v>
      </c>
      <c r="U11" s="988" t="s">
        <v>115</v>
      </c>
      <c r="V11" s="1517"/>
      <c r="W11" s="1517"/>
      <c r="X11" s="1517"/>
      <c r="Y11" s="1517"/>
    </row>
    <row r="12" spans="2:26">
      <c r="B12" s="193"/>
      <c r="C12" s="254"/>
      <c r="D12" s="134"/>
      <c r="E12" s="134"/>
      <c r="F12" s="134"/>
      <c r="G12" s="134"/>
      <c r="H12" s="134"/>
      <c r="I12" s="134"/>
      <c r="J12" s="134"/>
      <c r="K12" s="134"/>
      <c r="L12" s="134"/>
      <c r="M12" s="134"/>
      <c r="N12" s="134"/>
      <c r="O12" s="134"/>
      <c r="P12" s="134"/>
      <c r="Q12" s="134"/>
      <c r="R12" s="134"/>
      <c r="S12" s="134"/>
      <c r="T12" s="134"/>
      <c r="U12" s="135"/>
      <c r="V12" s="254"/>
      <c r="W12" s="254"/>
      <c r="X12" s="254"/>
      <c r="Y12" s="254"/>
    </row>
    <row r="13" spans="2:26">
      <c r="B13" s="194" t="str">
        <f>'F1'!B32</f>
        <v>HT Category</v>
      </c>
      <c r="C13" s="129"/>
      <c r="D13" s="129"/>
      <c r="E13" s="129"/>
      <c r="F13" s="129"/>
      <c r="G13" s="129"/>
      <c r="H13" s="129"/>
      <c r="I13" s="129"/>
      <c r="J13" s="129"/>
      <c r="K13" s="129"/>
      <c r="L13" s="129"/>
      <c r="M13" s="129"/>
      <c r="N13" s="129"/>
      <c r="O13" s="129"/>
      <c r="P13" s="129"/>
      <c r="Q13" s="129"/>
      <c r="R13" s="129"/>
      <c r="S13" s="129"/>
      <c r="T13" s="129"/>
      <c r="U13" s="129"/>
      <c r="V13" s="129"/>
      <c r="W13" s="129"/>
      <c r="X13" s="129"/>
      <c r="Y13" s="129"/>
    </row>
    <row r="14" spans="2:26" s="216" customFormat="1" ht="14.25">
      <c r="B14" s="194" t="str">
        <f>'F1'!B33</f>
        <v>HT I</v>
      </c>
      <c r="C14" s="194">
        <f>Backup!O63</f>
        <v>45</v>
      </c>
      <c r="D14" s="194"/>
      <c r="E14" s="194">
        <f>+'F14.1'!E14+20</f>
        <v>290</v>
      </c>
      <c r="F14" s="905">
        <f>+'ARR-Summary'!S87</f>
        <v>1.3565161708151909</v>
      </c>
      <c r="G14" s="194">
        <f>+'F14.1'!G14+0.8</f>
        <v>5.1199999999999992</v>
      </c>
      <c r="H14" s="248"/>
      <c r="I14" s="248"/>
      <c r="J14" s="248"/>
      <c r="K14" s="1195">
        <f>+'F13.2'!K14</f>
        <v>25021</v>
      </c>
      <c r="L14" s="845">
        <f>'F1'!N33</f>
        <v>80.414596838715994</v>
      </c>
      <c r="M14" s="248"/>
      <c r="N14" s="845">
        <f>E14*K14*12/10^7</f>
        <v>8.7073079999999994</v>
      </c>
      <c r="O14" s="845">
        <f>+F14*L14/10</f>
        <v>10.908370098130238</v>
      </c>
      <c r="P14" s="845">
        <f>SUM(P15:P18)</f>
        <v>40.50382629094851</v>
      </c>
      <c r="Q14" s="248"/>
      <c r="R14" s="248"/>
      <c r="S14" s="845">
        <f>+'F13.2'!S14</f>
        <v>-1.7861671599999998</v>
      </c>
      <c r="T14" s="845">
        <f>+'F13.2'!T14</f>
        <v>4.5812609999999997E-2</v>
      </c>
      <c r="U14" s="845">
        <f>SUM(M14:T14)</f>
        <v>58.37914983907875</v>
      </c>
      <c r="V14" s="248"/>
      <c r="W14" s="1087">
        <f>U14+V14</f>
        <v>58.37914983907875</v>
      </c>
      <c r="X14" s="565">
        <f>W14/L14*10</f>
        <v>7.2597702574032965</v>
      </c>
      <c r="Y14" s="1015">
        <f>+X14/$X$48</f>
        <v>0.9949538294778697</v>
      </c>
      <c r="Z14" s="1017">
        <f ca="1">+'F14.1'!Y14</f>
        <v>0.95335574289296632</v>
      </c>
    </row>
    <row r="15" spans="2:26">
      <c r="B15" s="129" t="s">
        <v>1061</v>
      </c>
      <c r="C15" s="129"/>
      <c r="D15" s="129"/>
      <c r="E15" s="129"/>
      <c r="F15" s="129"/>
      <c r="G15" s="564">
        <f>+'F14.1'!G15</f>
        <v>-1.5</v>
      </c>
      <c r="H15" s="105"/>
      <c r="I15" s="105"/>
      <c r="J15" s="105"/>
      <c r="K15" s="1197"/>
      <c r="L15" s="560">
        <f>+L14*'F13 B'!I377</f>
        <v>21.364050224605293</v>
      </c>
      <c r="M15" s="105"/>
      <c r="N15" s="560"/>
      <c r="O15" s="560"/>
      <c r="P15" s="560">
        <f>+L15*($G$14+G15)/10</f>
        <v>7.7337861813071145</v>
      </c>
      <c r="Q15" s="105"/>
      <c r="R15" s="105"/>
      <c r="S15" s="105"/>
      <c r="T15" s="105"/>
      <c r="U15" s="560"/>
      <c r="V15" s="105"/>
      <c r="W15" s="1148"/>
      <c r="X15" s="564"/>
      <c r="Y15" s="129"/>
    </row>
    <row r="16" spans="2:26" ht="30">
      <c r="B16" s="948" t="s">
        <v>1062</v>
      </c>
      <c r="C16" s="129"/>
      <c r="D16" s="129"/>
      <c r="E16" s="129"/>
      <c r="F16" s="129"/>
      <c r="G16" s="564">
        <f>+'F14.1'!G16</f>
        <v>0</v>
      </c>
      <c r="H16" s="105"/>
      <c r="I16" s="105"/>
      <c r="J16" s="105"/>
      <c r="K16" s="1197"/>
      <c r="L16" s="560">
        <f>+L14*'F13 B'!J377</f>
        <v>32.900453498330478</v>
      </c>
      <c r="M16" s="105"/>
      <c r="N16" s="560"/>
      <c r="O16" s="560"/>
      <c r="P16" s="560">
        <f t="shared" ref="P16:P18" si="0">+L16*($G$14+G16)/10</f>
        <v>16.845032191145201</v>
      </c>
      <c r="Q16" s="105"/>
      <c r="R16" s="105"/>
      <c r="S16" s="105"/>
      <c r="T16" s="105"/>
      <c r="U16" s="560"/>
      <c r="V16" s="105"/>
      <c r="W16" s="1148"/>
      <c r="X16" s="564"/>
      <c r="Y16" s="129"/>
    </row>
    <row r="17" spans="2:26">
      <c r="B17" s="129" t="s">
        <v>1063</v>
      </c>
      <c r="C17" s="129"/>
      <c r="D17" s="129"/>
      <c r="E17" s="129"/>
      <c r="F17" s="129"/>
      <c r="G17" s="564">
        <f>+'F14.1'!G17</f>
        <v>0.8</v>
      </c>
      <c r="H17" s="105"/>
      <c r="I17" s="105"/>
      <c r="J17" s="105"/>
      <c r="K17" s="1197"/>
      <c r="L17" s="560">
        <f>+L14*'F13 B'!K377</f>
        <v>11.344999983970068</v>
      </c>
      <c r="M17" s="105"/>
      <c r="N17" s="560"/>
      <c r="O17" s="560"/>
      <c r="P17" s="560">
        <f t="shared" si="0"/>
        <v>6.716239990510279</v>
      </c>
      <c r="Q17" s="105"/>
      <c r="R17" s="105"/>
      <c r="S17" s="105"/>
      <c r="T17" s="105"/>
      <c r="U17" s="560"/>
      <c r="V17" s="105"/>
      <c r="W17" s="1148"/>
      <c r="X17" s="564"/>
      <c r="Y17" s="129"/>
    </row>
    <row r="18" spans="2:26">
      <c r="B18" s="129" t="s">
        <v>1064</v>
      </c>
      <c r="C18" s="129"/>
      <c r="D18" s="129"/>
      <c r="E18" s="129"/>
      <c r="F18" s="129"/>
      <c r="G18" s="564">
        <f>+'F14.1'!G18</f>
        <v>1.1000000000000001</v>
      </c>
      <c r="H18" s="105"/>
      <c r="I18" s="105"/>
      <c r="J18" s="105"/>
      <c r="K18" s="1197"/>
      <c r="L18" s="560">
        <f>+'F13 B'!L377*L14</f>
        <v>14.805093131810153</v>
      </c>
      <c r="M18" s="105"/>
      <c r="N18" s="560"/>
      <c r="O18" s="560"/>
      <c r="P18" s="560">
        <f t="shared" si="0"/>
        <v>9.2087679279859138</v>
      </c>
      <c r="Q18" s="105"/>
      <c r="R18" s="105"/>
      <c r="S18" s="105"/>
      <c r="T18" s="105"/>
      <c r="U18" s="560"/>
      <c r="V18" s="105"/>
      <c r="W18" s="1148"/>
      <c r="X18" s="564"/>
      <c r="Y18" s="129"/>
    </row>
    <row r="19" spans="2:26">
      <c r="B19" s="129"/>
      <c r="C19" s="129"/>
      <c r="D19" s="129"/>
      <c r="E19" s="129"/>
      <c r="F19" s="129"/>
      <c r="G19" s="129"/>
      <c r="H19" s="105"/>
      <c r="I19" s="105"/>
      <c r="J19" s="105"/>
      <c r="K19" s="1197"/>
      <c r="L19" s="560"/>
      <c r="M19" s="105"/>
      <c r="N19" s="560"/>
      <c r="O19" s="560"/>
      <c r="P19" s="560"/>
      <c r="Q19" s="105"/>
      <c r="R19" s="105"/>
      <c r="S19" s="105"/>
      <c r="T19" s="105"/>
      <c r="U19" s="560"/>
      <c r="V19" s="105"/>
      <c r="W19" s="1148"/>
      <c r="X19" s="564"/>
      <c r="Y19" s="129"/>
    </row>
    <row r="20" spans="2:26" s="216" customFormat="1" ht="14.25">
      <c r="B20" s="194" t="str">
        <f>'F1'!B34</f>
        <v>HT II</v>
      </c>
      <c r="C20" s="194">
        <f>Backup!O64</f>
        <v>1</v>
      </c>
      <c r="D20" s="194"/>
      <c r="E20" s="194">
        <f>+'F14.1'!E20+20</f>
        <v>290</v>
      </c>
      <c r="F20" s="565">
        <f>+F14</f>
        <v>1.3565161708151909</v>
      </c>
      <c r="G20" s="905">
        <f>+'F14.1'!G20+0.95</f>
        <v>5.45</v>
      </c>
      <c r="H20" s="248"/>
      <c r="I20" s="248"/>
      <c r="J20" s="248"/>
      <c r="K20" s="1195">
        <f>+'F13.2'!K20</f>
        <v>1000</v>
      </c>
      <c r="L20" s="845">
        <f>'F1'!N34</f>
        <v>6</v>
      </c>
      <c r="M20" s="248"/>
      <c r="N20" s="845">
        <f>E20*K20*12/10^7</f>
        <v>0.34799999999999998</v>
      </c>
      <c r="O20" s="845">
        <f>+F20*L20/10</f>
        <v>0.81390970248911465</v>
      </c>
      <c r="P20" s="845">
        <f>SUM(P21:P24)</f>
        <v>3.2201249288000722</v>
      </c>
      <c r="Q20" s="248"/>
      <c r="R20" s="248"/>
      <c r="S20" s="248">
        <f>+'F13.2'!S20</f>
        <v>0</v>
      </c>
      <c r="T20" s="248">
        <f>+'F13.2'!T20</f>
        <v>0</v>
      </c>
      <c r="U20" s="845">
        <f>SUM(M20:T20)</f>
        <v>4.3820346312891871</v>
      </c>
      <c r="V20" s="248"/>
      <c r="W20" s="1087">
        <f t="shared" ref="W20:W46" si="1">U20+V20</f>
        <v>4.3820346312891871</v>
      </c>
      <c r="X20" s="565">
        <f t="shared" ref="X20:X26" si="2">W20/L20*10</f>
        <v>7.3033910521486458</v>
      </c>
      <c r="Y20" s="1015">
        <f>+X20/$X$48</f>
        <v>1.0009320733117562</v>
      </c>
      <c r="Z20" s="1017">
        <f ca="1">+'F14.1'!Y20</f>
        <v>0.95800791574344824</v>
      </c>
    </row>
    <row r="21" spans="2:26">
      <c r="B21" s="129" t="s">
        <v>1061</v>
      </c>
      <c r="C21" s="129"/>
      <c r="D21" s="129"/>
      <c r="E21" s="129"/>
      <c r="F21" s="564"/>
      <c r="G21" s="564">
        <v>-1.5</v>
      </c>
      <c r="H21" s="105"/>
      <c r="I21" s="105"/>
      <c r="J21" s="105"/>
      <c r="K21" s="1197"/>
      <c r="L21" s="560">
        <f>+L20*'F13 B'!I377</f>
        <v>1.5940427035246518</v>
      </c>
      <c r="M21" s="105"/>
      <c r="N21" s="560"/>
      <c r="O21" s="560"/>
      <c r="P21" s="560">
        <f>+L21*($G$20+G21)/10</f>
        <v>0.62964686789223756</v>
      </c>
      <c r="Q21" s="105"/>
      <c r="R21" s="105"/>
      <c r="S21" s="105"/>
      <c r="T21" s="105"/>
      <c r="U21" s="560"/>
      <c r="V21" s="105"/>
      <c r="W21" s="1148"/>
      <c r="X21" s="564"/>
      <c r="Y21" s="129"/>
    </row>
    <row r="22" spans="2:26" ht="30">
      <c r="B22" s="948" t="s">
        <v>1062</v>
      </c>
      <c r="C22" s="129"/>
      <c r="D22" s="129"/>
      <c r="E22" s="129"/>
      <c r="F22" s="564"/>
      <c r="G22" s="564">
        <v>0</v>
      </c>
      <c r="H22" s="105"/>
      <c r="I22" s="105"/>
      <c r="J22" s="105"/>
      <c r="K22" s="1197"/>
      <c r="L22" s="560">
        <f>+L20*'F13 B'!J377</f>
        <v>2.4548120459511198</v>
      </c>
      <c r="M22" s="105"/>
      <c r="N22" s="560"/>
      <c r="O22" s="560"/>
      <c r="P22" s="560">
        <f t="shared" ref="P22:P24" si="3">+L22*($G$20+G22)/10</f>
        <v>1.3378725650433603</v>
      </c>
      <c r="Q22" s="105"/>
      <c r="R22" s="105"/>
      <c r="S22" s="105"/>
      <c r="T22" s="105"/>
      <c r="U22" s="560"/>
      <c r="V22" s="105"/>
      <c r="W22" s="1148"/>
      <c r="X22" s="564"/>
      <c r="Y22" s="129"/>
    </row>
    <row r="23" spans="2:26">
      <c r="B23" s="129" t="s">
        <v>1063</v>
      </c>
      <c r="C23" s="129"/>
      <c r="D23" s="129"/>
      <c r="E23" s="129"/>
      <c r="F23" s="564"/>
      <c r="G23" s="564">
        <v>0.8</v>
      </c>
      <c r="H23" s="105"/>
      <c r="I23" s="105"/>
      <c r="J23" s="105"/>
      <c r="K23" s="1197"/>
      <c r="L23" s="560">
        <f>+L20*'F13 B'!K377</f>
        <v>0.84648810762982984</v>
      </c>
      <c r="M23" s="105"/>
      <c r="N23" s="560"/>
      <c r="O23" s="560"/>
      <c r="P23" s="560">
        <f t="shared" si="3"/>
        <v>0.52905506726864371</v>
      </c>
      <c r="Q23" s="105"/>
      <c r="R23" s="105"/>
      <c r="S23" s="105"/>
      <c r="T23" s="105"/>
      <c r="U23" s="560"/>
      <c r="V23" s="105"/>
      <c r="W23" s="1148"/>
      <c r="X23" s="564"/>
      <c r="Y23" s="129"/>
    </row>
    <row r="24" spans="2:26">
      <c r="B24" s="129" t="s">
        <v>1064</v>
      </c>
      <c r="C24" s="129"/>
      <c r="D24" s="129"/>
      <c r="E24" s="129"/>
      <c r="F24" s="564"/>
      <c r="G24" s="564">
        <v>1.1000000000000001</v>
      </c>
      <c r="H24" s="105"/>
      <c r="I24" s="105"/>
      <c r="J24" s="105"/>
      <c r="K24" s="1197"/>
      <c r="L24" s="560">
        <f>+L20*'F13 B'!L377</f>
        <v>1.1046571428943981</v>
      </c>
      <c r="M24" s="105"/>
      <c r="N24" s="560"/>
      <c r="O24" s="560"/>
      <c r="P24" s="560">
        <f t="shared" si="3"/>
        <v>0.72355042859583085</v>
      </c>
      <c r="Q24" s="105"/>
      <c r="R24" s="105"/>
      <c r="S24" s="105"/>
      <c r="T24" s="105"/>
      <c r="U24" s="560"/>
      <c r="V24" s="105"/>
      <c r="W24" s="1148"/>
      <c r="X24" s="564"/>
      <c r="Y24" s="129"/>
    </row>
    <row r="25" spans="2:26">
      <c r="B25" s="129"/>
      <c r="C25" s="129"/>
      <c r="D25" s="129"/>
      <c r="E25" s="129"/>
      <c r="F25" s="564"/>
      <c r="G25" s="129"/>
      <c r="H25" s="105"/>
      <c r="I25" s="105"/>
      <c r="J25" s="105"/>
      <c r="K25" s="1197"/>
      <c r="L25" s="560"/>
      <c r="M25" s="105"/>
      <c r="N25" s="560"/>
      <c r="O25" s="560"/>
      <c r="P25" s="560"/>
      <c r="Q25" s="105"/>
      <c r="R25" s="105"/>
      <c r="S25" s="105"/>
      <c r="T25" s="105"/>
      <c r="U25" s="560"/>
      <c r="V25" s="105"/>
      <c r="W25" s="1148"/>
      <c r="X25" s="564"/>
      <c r="Y25" s="129"/>
    </row>
    <row r="26" spans="2:26">
      <c r="B26" s="194" t="str">
        <f>'F1'!B35</f>
        <v>Sub-total HT</v>
      </c>
      <c r="C26" s="194">
        <f>+C14+C20</f>
        <v>46</v>
      </c>
      <c r="D26" s="129"/>
      <c r="E26" s="129"/>
      <c r="F26" s="565"/>
      <c r="G26" s="129"/>
      <c r="H26" s="105"/>
      <c r="I26" s="105"/>
      <c r="J26" s="105"/>
      <c r="K26" s="105"/>
      <c r="L26" s="551">
        <f>+L14+L20</f>
        <v>86.414596838715994</v>
      </c>
      <c r="M26" s="551">
        <f t="shared" ref="M26:U26" si="4">+M14+M20</f>
        <v>0</v>
      </c>
      <c r="N26" s="551">
        <f t="shared" si="4"/>
        <v>9.0553080000000001</v>
      </c>
      <c r="O26" s="551">
        <f t="shared" si="4"/>
        <v>11.722279800619352</v>
      </c>
      <c r="P26" s="551">
        <f t="shared" si="4"/>
        <v>43.723951219748585</v>
      </c>
      <c r="Q26" s="551">
        <f t="shared" si="4"/>
        <v>0</v>
      </c>
      <c r="R26" s="551">
        <f t="shared" si="4"/>
        <v>0</v>
      </c>
      <c r="S26" s="845">
        <f t="shared" si="4"/>
        <v>-1.7861671599999998</v>
      </c>
      <c r="T26" s="551">
        <f t="shared" si="4"/>
        <v>4.5812609999999997E-2</v>
      </c>
      <c r="U26" s="551">
        <f t="shared" si="4"/>
        <v>62.761184470367937</v>
      </c>
      <c r="V26" s="248"/>
      <c r="W26" s="1087">
        <f t="shared" si="1"/>
        <v>62.761184470367937</v>
      </c>
      <c r="X26" s="565">
        <f t="shared" si="2"/>
        <v>7.262798967575498</v>
      </c>
      <c r="Y26" s="1015">
        <f>+X26/$X$48</f>
        <v>0.99536891517305925</v>
      </c>
      <c r="Z26" s="1017">
        <f ca="1">+'F14.1'!Y26</f>
        <v>0.95363063417852711</v>
      </c>
    </row>
    <row r="27" spans="2:26">
      <c r="B27" s="194"/>
      <c r="C27" s="129"/>
      <c r="D27" s="129"/>
      <c r="E27" s="129"/>
      <c r="F27" s="129"/>
      <c r="G27" s="129"/>
      <c r="H27" s="105"/>
      <c r="I27" s="105"/>
      <c r="J27" s="105"/>
      <c r="K27" s="105"/>
      <c r="L27" s="560"/>
      <c r="M27" s="105"/>
      <c r="N27" s="560"/>
      <c r="O27" s="560"/>
      <c r="P27" s="560"/>
      <c r="Q27" s="105"/>
      <c r="R27" s="105"/>
      <c r="S27" s="105"/>
      <c r="T27" s="105"/>
      <c r="U27" s="560"/>
      <c r="V27" s="105"/>
      <c r="W27" s="1148">
        <f t="shared" si="1"/>
        <v>0</v>
      </c>
      <c r="X27" s="564"/>
      <c r="Y27" s="129"/>
    </row>
    <row r="28" spans="2:26">
      <c r="B28" s="194" t="str">
        <f>'F1'!B37</f>
        <v>LT Category</v>
      </c>
      <c r="C28" s="129"/>
      <c r="D28" s="129"/>
      <c r="E28" s="129"/>
      <c r="F28" s="129"/>
      <c r="G28" s="129"/>
      <c r="H28" s="129"/>
      <c r="I28" s="129"/>
      <c r="J28" s="129"/>
      <c r="K28" s="129"/>
      <c r="L28" s="564"/>
      <c r="M28" s="129"/>
      <c r="N28" s="564"/>
      <c r="O28" s="564"/>
      <c r="P28" s="564"/>
      <c r="Q28" s="129"/>
      <c r="R28" s="129"/>
      <c r="S28" s="129"/>
      <c r="T28" s="129"/>
      <c r="U28" s="564"/>
      <c r="V28" s="129"/>
      <c r="W28" s="805">
        <f t="shared" si="1"/>
        <v>0</v>
      </c>
      <c r="X28" s="564"/>
      <c r="Y28" s="129"/>
    </row>
    <row r="29" spans="2:26" s="216" customFormat="1" ht="14.25">
      <c r="B29" s="194" t="str">
        <f>'F1'!B38</f>
        <v>LT I (G-P)</v>
      </c>
      <c r="C29" s="194">
        <f>Backup!O66</f>
        <v>0</v>
      </c>
      <c r="D29" s="194">
        <f>+'F14.1'!D29+20</f>
        <v>290</v>
      </c>
      <c r="E29" s="194"/>
      <c r="F29" s="565">
        <f>+F20</f>
        <v>1.3565161708151909</v>
      </c>
      <c r="G29" s="194">
        <f>+'F14.1'!G29+1</f>
        <v>5.85</v>
      </c>
      <c r="H29" s="194"/>
      <c r="I29" s="194"/>
      <c r="J29" s="952"/>
      <c r="K29" s="949"/>
      <c r="L29" s="565">
        <f>'F1'!N38</f>
        <v>0</v>
      </c>
      <c r="M29" s="950">
        <f>+C29*D29*12/10^7</f>
        <v>0</v>
      </c>
      <c r="N29" s="565">
        <f>D29*K29*12/10^7</f>
        <v>0</v>
      </c>
      <c r="O29" s="565">
        <f t="shared" ref="O29:O38" si="5">+F29*L29/10</f>
        <v>0</v>
      </c>
      <c r="P29" s="565">
        <f>G29*L29/10</f>
        <v>0</v>
      </c>
      <c r="Q29" s="194"/>
      <c r="R29" s="194"/>
      <c r="S29" s="194"/>
      <c r="T29" s="194"/>
      <c r="U29" s="565">
        <f t="shared" ref="U29:U38" si="6">SUM(M29:T29)</f>
        <v>0</v>
      </c>
      <c r="V29" s="194"/>
      <c r="W29" s="806">
        <f t="shared" si="1"/>
        <v>0</v>
      </c>
      <c r="X29" s="565"/>
      <c r="Y29" s="194"/>
    </row>
    <row r="30" spans="2:26" s="216" customFormat="1" ht="14.25">
      <c r="B30" s="194" t="str">
        <f>'F1'!B39</f>
        <v>LT II (A)</v>
      </c>
      <c r="C30" s="194">
        <f>Backup!O67</f>
        <v>32</v>
      </c>
      <c r="D30" s="194">
        <f>+'F14.1'!D30+20</f>
        <v>290</v>
      </c>
      <c r="E30" s="194"/>
      <c r="F30" s="565">
        <f>+F29</f>
        <v>1.3565161708151909</v>
      </c>
      <c r="G30" s="905">
        <f>+'F14.1'!G30+0.9</f>
        <v>5.8</v>
      </c>
      <c r="H30" s="194"/>
      <c r="I30" s="194"/>
      <c r="J30" s="952"/>
      <c r="K30" s="949"/>
      <c r="L30" s="565">
        <f>'F1'!N39</f>
        <v>0.64446704685</v>
      </c>
      <c r="M30" s="566">
        <f t="shared" ref="M30:M38" si="7">+C30*D30*12/10^7</f>
        <v>1.1136E-2</v>
      </c>
      <c r="N30" s="565">
        <f>D30*K30*12/10^7</f>
        <v>0</v>
      </c>
      <c r="O30" s="565">
        <f t="shared" si="5"/>
        <v>8.7422997060953619E-2</v>
      </c>
      <c r="P30" s="565">
        <f t="shared" ref="P30:P37" si="8">G30*L30/10</f>
        <v>0.37379088717299996</v>
      </c>
      <c r="Q30" s="194"/>
      <c r="R30" s="194"/>
      <c r="S30" s="194"/>
      <c r="T30" s="194"/>
      <c r="U30" s="565">
        <f t="shared" si="6"/>
        <v>0.47234988423395358</v>
      </c>
      <c r="V30" s="194"/>
      <c r="W30" s="806">
        <f t="shared" si="1"/>
        <v>0.47234988423395358</v>
      </c>
      <c r="X30" s="565">
        <f t="shared" ref="X30:X46" si="9">W30/L30*10</f>
        <v>7.3293101104654816</v>
      </c>
      <c r="Y30" s="1015">
        <f>+X30/$X$48</f>
        <v>1.0044842885216656</v>
      </c>
      <c r="Z30" s="1017">
        <f ca="1">+'F14.1'!Y30</f>
        <v>0.95765050122299744</v>
      </c>
    </row>
    <row r="31" spans="2:26" s="216" customFormat="1" ht="14.25">
      <c r="B31" s="194" t="str">
        <f>'F1'!B40</f>
        <v>LT II (B)</v>
      </c>
      <c r="C31" s="194">
        <f>Backup!O68</f>
        <v>9</v>
      </c>
      <c r="D31" s="194"/>
      <c r="E31" s="194">
        <f>+'F14.1'!E31+20</f>
        <v>290</v>
      </c>
      <c r="F31" s="565">
        <f>+F30</f>
        <v>1.3565161708151909</v>
      </c>
      <c r="G31" s="905">
        <f>+'F14.1'!G31+0.8</f>
        <v>5.35</v>
      </c>
      <c r="H31" s="194"/>
      <c r="I31" s="194"/>
      <c r="J31" s="952"/>
      <c r="K31" s="949">
        <f>+'F13.2'!K31</f>
        <v>266</v>
      </c>
      <c r="L31" s="565">
        <f>'F1'!N40</f>
        <v>0.38231715840000002</v>
      </c>
      <c r="M31" s="950">
        <f t="shared" si="7"/>
        <v>0</v>
      </c>
      <c r="N31" s="565">
        <f>E31*K31*12/10^7</f>
        <v>9.2567999999999998E-2</v>
      </c>
      <c r="O31" s="565">
        <f t="shared" si="5"/>
        <v>5.1861940774971284E-2</v>
      </c>
      <c r="P31" s="565">
        <f>SUM(P32:P35)</f>
        <v>0.20346436549463567</v>
      </c>
      <c r="Q31" s="194"/>
      <c r="R31" s="194"/>
      <c r="S31" s="565">
        <f>+'F13.2'!S31</f>
        <v>-2.8187880000000005E-3</v>
      </c>
      <c r="T31" s="565">
        <f>+'F13.2'!T31</f>
        <v>3.8782800000000009E-3</v>
      </c>
      <c r="U31" s="565">
        <f t="shared" si="6"/>
        <v>0.34895379826960693</v>
      </c>
      <c r="V31" s="194"/>
      <c r="W31" s="806">
        <f t="shared" si="1"/>
        <v>0.34895379826960693</v>
      </c>
      <c r="X31" s="565">
        <f t="shared" si="9"/>
        <v>9.1273381432834721</v>
      </c>
      <c r="Y31" s="1015">
        <f>+X31/$X$48</f>
        <v>1.2509046039492093</v>
      </c>
      <c r="Z31" s="1017">
        <f ca="1">+'F14.1'!Y31</f>
        <v>1.2281502577022845</v>
      </c>
    </row>
    <row r="32" spans="2:26">
      <c r="B32" s="129" t="s">
        <v>1061</v>
      </c>
      <c r="C32" s="129"/>
      <c r="D32" s="129"/>
      <c r="E32" s="129"/>
      <c r="F32" s="129"/>
      <c r="G32" s="564">
        <v>-1.5</v>
      </c>
      <c r="H32" s="129"/>
      <c r="I32" s="129"/>
      <c r="J32" s="36"/>
      <c r="K32" s="932"/>
      <c r="L32" s="564">
        <f>+L31*'F13 B'!I382</f>
        <v>9.2195569610974637E-2</v>
      </c>
      <c r="M32" s="936"/>
      <c r="N32" s="564"/>
      <c r="O32" s="564"/>
      <c r="P32" s="564">
        <f>+L32*($G$31+G32)/10</f>
        <v>3.549529430022523E-2</v>
      </c>
      <c r="Q32" s="129"/>
      <c r="R32" s="129"/>
      <c r="S32" s="129"/>
      <c r="T32" s="129"/>
      <c r="U32" s="564"/>
      <c r="V32" s="129"/>
      <c r="W32" s="805"/>
      <c r="X32" s="564"/>
      <c r="Y32" s="129"/>
    </row>
    <row r="33" spans="2:26" ht="30">
      <c r="B33" s="948" t="s">
        <v>1062</v>
      </c>
      <c r="C33" s="129"/>
      <c r="D33" s="129"/>
      <c r="E33" s="129"/>
      <c r="F33" s="129"/>
      <c r="G33" s="564">
        <v>0</v>
      </c>
      <c r="H33" s="129"/>
      <c r="I33" s="129"/>
      <c r="J33" s="36"/>
      <c r="K33" s="932"/>
      <c r="L33" s="564">
        <f>+L31*'F13 B'!J382</f>
        <v>0.1595311524280473</v>
      </c>
      <c r="M33" s="936"/>
      <c r="N33" s="564"/>
      <c r="O33" s="564"/>
      <c r="P33" s="564">
        <f t="shared" ref="P33:P35" si="10">+L33*($G$31+G33)/10</f>
        <v>8.534916654900529E-2</v>
      </c>
      <c r="Q33" s="129"/>
      <c r="R33" s="129"/>
      <c r="S33" s="129"/>
      <c r="T33" s="129"/>
      <c r="U33" s="564"/>
      <c r="V33" s="129"/>
      <c r="W33" s="805"/>
      <c r="X33" s="564"/>
      <c r="Y33" s="129"/>
    </row>
    <row r="34" spans="2:26">
      <c r="B34" s="129" t="s">
        <v>1063</v>
      </c>
      <c r="C34" s="129"/>
      <c r="D34" s="129"/>
      <c r="E34" s="129"/>
      <c r="F34" s="129"/>
      <c r="G34" s="564">
        <v>0.8</v>
      </c>
      <c r="H34" s="129"/>
      <c r="I34" s="129"/>
      <c r="J34" s="36"/>
      <c r="K34" s="932"/>
      <c r="L34" s="564">
        <f>+L31*'F13 B'!K382</f>
        <v>5.369756024752273E-2</v>
      </c>
      <c r="M34" s="936"/>
      <c r="N34" s="564"/>
      <c r="O34" s="564"/>
      <c r="P34" s="564">
        <f t="shared" si="10"/>
        <v>3.3023999552226471E-2</v>
      </c>
      <c r="Q34" s="129"/>
      <c r="R34" s="129"/>
      <c r="S34" s="129"/>
      <c r="T34" s="129"/>
      <c r="U34" s="564"/>
      <c r="V34" s="129"/>
      <c r="W34" s="805"/>
      <c r="X34" s="564"/>
      <c r="Y34" s="129"/>
    </row>
    <row r="35" spans="2:26">
      <c r="B35" s="129" t="s">
        <v>1064</v>
      </c>
      <c r="C35" s="129"/>
      <c r="D35" s="129"/>
      <c r="E35" s="129"/>
      <c r="F35" s="129"/>
      <c r="G35" s="564">
        <v>1.1000000000000001</v>
      </c>
      <c r="H35" s="129"/>
      <c r="I35" s="129"/>
      <c r="J35" s="36"/>
      <c r="K35" s="932"/>
      <c r="L35" s="564">
        <f>+L31*'F13 B'!L382</f>
        <v>7.6892876113455327E-2</v>
      </c>
      <c r="M35" s="936"/>
      <c r="N35" s="564"/>
      <c r="O35" s="564"/>
      <c r="P35" s="564">
        <f t="shared" si="10"/>
        <v>4.9595905093178683E-2</v>
      </c>
      <c r="Q35" s="129"/>
      <c r="R35" s="129"/>
      <c r="S35" s="129"/>
      <c r="T35" s="129"/>
      <c r="U35" s="564"/>
      <c r="V35" s="129"/>
      <c r="W35" s="805"/>
      <c r="X35" s="564"/>
      <c r="Y35" s="129"/>
    </row>
    <row r="36" spans="2:26">
      <c r="B36" s="129"/>
      <c r="C36" s="129"/>
      <c r="D36" s="129"/>
      <c r="E36" s="129"/>
      <c r="F36" s="129"/>
      <c r="G36" s="129"/>
      <c r="H36" s="129"/>
      <c r="I36" s="129"/>
      <c r="J36" s="36"/>
      <c r="K36" s="932"/>
      <c r="L36" s="564"/>
      <c r="M36" s="936"/>
      <c r="N36" s="564"/>
      <c r="O36" s="564"/>
      <c r="P36" s="564"/>
      <c r="Q36" s="129"/>
      <c r="R36" s="129"/>
      <c r="S36" s="129"/>
      <c r="T36" s="129"/>
      <c r="U36" s="564"/>
      <c r="V36" s="129"/>
      <c r="W36" s="805"/>
      <c r="X36" s="564"/>
      <c r="Y36" s="129"/>
    </row>
    <row r="37" spans="2:26" s="216" customFormat="1" ht="14.25">
      <c r="B37" s="194" t="str">
        <f>'F1'!B41</f>
        <v>LT III (A)</v>
      </c>
      <c r="C37" s="194">
        <f>Backup!O69</f>
        <v>1</v>
      </c>
      <c r="D37" s="194">
        <f>+'F14.1'!D37+20</f>
        <v>290</v>
      </c>
      <c r="E37" s="194"/>
      <c r="F37" s="565">
        <f>+F31</f>
        <v>1.3565161708151909</v>
      </c>
      <c r="G37" s="905">
        <f>+'F14.1'!G37+0.85</f>
        <v>5.3999999999999995</v>
      </c>
      <c r="H37" s="194"/>
      <c r="I37" s="194"/>
      <c r="J37" s="952"/>
      <c r="K37" s="949"/>
      <c r="L37" s="565">
        <f>'F1'!N41</f>
        <v>6.3646079200000002E-3</v>
      </c>
      <c r="M37" s="951">
        <f t="shared" si="7"/>
        <v>3.48E-4</v>
      </c>
      <c r="N37" s="565">
        <f>D37*K37*12/10^7</f>
        <v>0</v>
      </c>
      <c r="O37" s="565">
        <f t="shared" si="5"/>
        <v>8.6336935643784377E-4</v>
      </c>
      <c r="P37" s="565">
        <f t="shared" si="8"/>
        <v>3.4368882767999999E-3</v>
      </c>
      <c r="Q37" s="194"/>
      <c r="R37" s="194"/>
      <c r="S37" s="194"/>
      <c r="T37" s="194"/>
      <c r="U37" s="565">
        <f t="shared" si="6"/>
        <v>4.6482576332378435E-3</v>
      </c>
      <c r="V37" s="194"/>
      <c r="W37" s="806">
        <f t="shared" si="1"/>
        <v>4.6482576332378435E-3</v>
      </c>
      <c r="X37" s="565">
        <f t="shared" si="9"/>
        <v>7.3032898360184353</v>
      </c>
      <c r="Y37" s="1015">
        <f>+X37/$X$48</f>
        <v>1.0009182016088252</v>
      </c>
      <c r="Z37" s="1017">
        <f ca="1">+'F14.1'!Y37</f>
        <v>0.95790033304196132</v>
      </c>
    </row>
    <row r="38" spans="2:26" s="216" customFormat="1" ht="14.25">
      <c r="B38" s="194" t="str">
        <f>'F1'!B42</f>
        <v>LT III (B)</v>
      </c>
      <c r="C38" s="194">
        <f>Backup!O70</f>
        <v>29</v>
      </c>
      <c r="D38" s="194"/>
      <c r="E38" s="194">
        <f>+'F14.1'!E38+20</f>
        <v>290</v>
      </c>
      <c r="F38" s="565">
        <f>+F37</f>
        <v>1.3565161708151909</v>
      </c>
      <c r="G38" s="905">
        <f>+'F14.1'!G38+0.8</f>
        <v>5.35</v>
      </c>
      <c r="H38" s="194"/>
      <c r="I38" s="194"/>
      <c r="J38" s="194"/>
      <c r="K38" s="949">
        <f>+'F13.2'!K38</f>
        <v>2708</v>
      </c>
      <c r="L38" s="565">
        <f>'F1'!N42</f>
        <v>7.2719716501080001</v>
      </c>
      <c r="M38" s="950">
        <f t="shared" si="7"/>
        <v>0</v>
      </c>
      <c r="N38" s="565">
        <f>E38*K38*12/10^7</f>
        <v>0.942384</v>
      </c>
      <c r="O38" s="565">
        <f t="shared" si="5"/>
        <v>0.986454713708113</v>
      </c>
      <c r="P38" s="565">
        <f>SUM(P39:P42)</f>
        <v>3.822561806118201</v>
      </c>
      <c r="Q38" s="194"/>
      <c r="R38" s="194"/>
      <c r="S38" s="565">
        <f>+'F13.2'!S38</f>
        <v>-0.23649888999999999</v>
      </c>
      <c r="T38" s="565">
        <f>+'F13.2'!T38</f>
        <v>1.2884400000000001E-2</v>
      </c>
      <c r="U38" s="565">
        <f t="shared" si="6"/>
        <v>5.5277860298263137</v>
      </c>
      <c r="V38" s="194"/>
      <c r="W38" s="806">
        <f t="shared" si="1"/>
        <v>5.5277860298263137</v>
      </c>
      <c r="X38" s="565">
        <f t="shared" si="9"/>
        <v>7.6014955720354296</v>
      </c>
      <c r="Y38" s="1015">
        <f>+X38/$X$48</f>
        <v>1.0417873928507668</v>
      </c>
      <c r="Z38" s="1017">
        <f ca="1">+'F14.1'!Y38</f>
        <v>1.0047777291770765</v>
      </c>
    </row>
    <row r="39" spans="2:26">
      <c r="B39" s="129" t="s">
        <v>1061</v>
      </c>
      <c r="C39" s="129"/>
      <c r="D39" s="129"/>
      <c r="E39" s="129"/>
      <c r="F39" s="129"/>
      <c r="G39" s="564">
        <v>-1.5</v>
      </c>
      <c r="H39" s="129"/>
      <c r="I39" s="129"/>
      <c r="J39" s="129"/>
      <c r="K39" s="932"/>
      <c r="L39" s="564">
        <f>+L38*'F13 B'!I384</f>
        <v>1.9604922453875915</v>
      </c>
      <c r="M39" s="936"/>
      <c r="N39" s="564"/>
      <c r="O39" s="564"/>
      <c r="P39" s="564">
        <f>+L39*($G$38+G39)/10</f>
        <v>0.75478951447422271</v>
      </c>
      <c r="Q39" s="129"/>
      <c r="R39" s="129"/>
      <c r="S39" s="129"/>
      <c r="T39" s="129"/>
      <c r="U39" s="564"/>
      <c r="V39" s="129"/>
      <c r="W39" s="805"/>
      <c r="X39" s="564"/>
      <c r="Y39" s="129"/>
    </row>
    <row r="40" spans="2:26" ht="30">
      <c r="B40" s="948" t="s">
        <v>1062</v>
      </c>
      <c r="C40" s="129"/>
      <c r="D40" s="129"/>
      <c r="E40" s="129"/>
      <c r="F40" s="129"/>
      <c r="G40" s="564">
        <v>0</v>
      </c>
      <c r="H40" s="129"/>
      <c r="I40" s="129"/>
      <c r="J40" s="129"/>
      <c r="K40" s="932"/>
      <c r="L40" s="564">
        <f>+L38*'F13 B'!J384</f>
        <v>2.978116943800929</v>
      </c>
      <c r="M40" s="936"/>
      <c r="N40" s="564"/>
      <c r="O40" s="564"/>
      <c r="P40" s="564">
        <f t="shared" ref="P40:P42" si="11">+L40*($G$38+G40)/10</f>
        <v>1.5932925649334968</v>
      </c>
      <c r="Q40" s="129"/>
      <c r="R40" s="129"/>
      <c r="S40" s="129"/>
      <c r="T40" s="129"/>
      <c r="U40" s="564"/>
      <c r="V40" s="129"/>
      <c r="W40" s="805"/>
      <c r="X40" s="564"/>
      <c r="Y40" s="129"/>
    </row>
    <row r="41" spans="2:26">
      <c r="B41" s="129" t="s">
        <v>1063</v>
      </c>
      <c r="C41" s="129"/>
      <c r="D41" s="129"/>
      <c r="E41" s="129"/>
      <c r="F41" s="129"/>
      <c r="G41" s="564">
        <v>0.8</v>
      </c>
      <c r="H41" s="129"/>
      <c r="I41" s="129"/>
      <c r="J41" s="129"/>
      <c r="K41" s="932"/>
      <c r="L41" s="564">
        <f>+L38*'F13 B'!K384</f>
        <v>1.017968686086079</v>
      </c>
      <c r="M41" s="936"/>
      <c r="N41" s="564"/>
      <c r="O41" s="564"/>
      <c r="P41" s="564">
        <f t="shared" si="11"/>
        <v>0.62605074194293864</v>
      </c>
      <c r="Q41" s="129"/>
      <c r="R41" s="129"/>
      <c r="S41" s="129"/>
      <c r="T41" s="129"/>
      <c r="U41" s="564"/>
      <c r="V41" s="129"/>
      <c r="W41" s="805"/>
      <c r="X41" s="564"/>
      <c r="Y41" s="129"/>
    </row>
    <row r="42" spans="2:26">
      <c r="B42" s="129" t="s">
        <v>1064</v>
      </c>
      <c r="C42" s="129"/>
      <c r="D42" s="129"/>
      <c r="E42" s="129"/>
      <c r="F42" s="129"/>
      <c r="G42" s="564">
        <v>1.1000000000000001</v>
      </c>
      <c r="H42" s="129"/>
      <c r="I42" s="129"/>
      <c r="J42" s="129"/>
      <c r="K42" s="932"/>
      <c r="L42" s="564">
        <f>+L38*'F13 B'!L384</f>
        <v>1.3153937748334001</v>
      </c>
      <c r="M42" s="936"/>
      <c r="N42" s="564"/>
      <c r="O42" s="564"/>
      <c r="P42" s="564">
        <f t="shared" si="11"/>
        <v>0.84842898476754303</v>
      </c>
      <c r="Q42" s="129"/>
      <c r="R42" s="129"/>
      <c r="S42" s="129"/>
      <c r="T42" s="129"/>
      <c r="U42" s="564"/>
      <c r="V42" s="129"/>
      <c r="W42" s="805"/>
      <c r="X42" s="564"/>
      <c r="Y42" s="129"/>
    </row>
    <row r="43" spans="2:26">
      <c r="B43" s="129"/>
      <c r="C43" s="129"/>
      <c r="D43" s="129"/>
      <c r="E43" s="129"/>
      <c r="F43" s="129"/>
      <c r="G43" s="129"/>
      <c r="H43" s="129"/>
      <c r="I43" s="129"/>
      <c r="J43" s="129"/>
      <c r="K43" s="932"/>
      <c r="L43" s="564"/>
      <c r="M43" s="936"/>
      <c r="N43" s="564"/>
      <c r="O43" s="564"/>
      <c r="P43" s="564"/>
      <c r="Q43" s="129"/>
      <c r="R43" s="129"/>
      <c r="S43" s="129"/>
      <c r="T43" s="129"/>
      <c r="U43" s="564"/>
      <c r="V43" s="129"/>
      <c r="W43" s="805"/>
      <c r="X43" s="564"/>
      <c r="Y43" s="1015"/>
    </row>
    <row r="44" spans="2:26">
      <c r="B44" s="194" t="str">
        <f>'F1'!B43</f>
        <v>Sub-total LT</v>
      </c>
      <c r="C44" s="194">
        <f>+C29+C30+C31+C37+C38</f>
        <v>71</v>
      </c>
      <c r="D44" s="129"/>
      <c r="E44" s="129"/>
      <c r="F44" s="129"/>
      <c r="G44" s="129"/>
      <c r="H44" s="129"/>
      <c r="I44" s="129"/>
      <c r="J44" s="129"/>
      <c r="K44" s="129"/>
      <c r="L44" s="905">
        <f t="shared" ref="L44:U44" si="12">+L29+L30+L31+L37+L38</f>
        <v>8.3051204632779996</v>
      </c>
      <c r="M44" s="905">
        <f t="shared" si="12"/>
        <v>1.1483999999999999E-2</v>
      </c>
      <c r="N44" s="905">
        <f t="shared" si="12"/>
        <v>1.0349520000000001</v>
      </c>
      <c r="O44" s="905">
        <f t="shared" si="12"/>
        <v>1.1266030209004758</v>
      </c>
      <c r="P44" s="905">
        <f t="shared" si="12"/>
        <v>4.4032539470626366</v>
      </c>
      <c r="Q44" s="905">
        <f t="shared" si="12"/>
        <v>0</v>
      </c>
      <c r="R44" s="905">
        <f t="shared" si="12"/>
        <v>0</v>
      </c>
      <c r="S44" s="565">
        <f t="shared" si="12"/>
        <v>-0.23931767799999998</v>
      </c>
      <c r="T44" s="905">
        <f t="shared" si="12"/>
        <v>1.6762680000000002E-2</v>
      </c>
      <c r="U44" s="905">
        <f t="shared" si="12"/>
        <v>6.3537379699631122</v>
      </c>
      <c r="V44" s="194"/>
      <c r="W44" s="806">
        <f t="shared" si="1"/>
        <v>6.3537379699631122</v>
      </c>
      <c r="X44" s="565">
        <f t="shared" si="9"/>
        <v>7.6503862864564827</v>
      </c>
      <c r="Y44" s="1015">
        <f>+X44/$X$48</f>
        <v>1.0484878808571925</v>
      </c>
      <c r="Z44" s="1017">
        <f ca="1">+'F14.1'!Y44</f>
        <v>1.0113675009859102</v>
      </c>
    </row>
    <row r="45" spans="2:26">
      <c r="B45" s="194"/>
      <c r="C45" s="129"/>
      <c r="D45" s="129"/>
      <c r="E45" s="129"/>
      <c r="F45" s="129"/>
      <c r="G45" s="129"/>
      <c r="H45" s="129"/>
      <c r="I45" s="129"/>
      <c r="J45" s="129"/>
      <c r="K45" s="129"/>
      <c r="L45" s="564"/>
      <c r="M45" s="129"/>
      <c r="N45" s="564"/>
      <c r="O45" s="564"/>
      <c r="P45" s="564"/>
      <c r="Q45" s="129"/>
      <c r="R45" s="129"/>
      <c r="S45" s="129"/>
      <c r="T45" s="129"/>
      <c r="U45" s="564"/>
      <c r="V45" s="129"/>
      <c r="W45" s="805">
        <f t="shared" si="1"/>
        <v>0</v>
      </c>
      <c r="X45" s="564"/>
      <c r="Y45" s="129"/>
    </row>
    <row r="46" spans="2:26">
      <c r="B46" s="194" t="s">
        <v>115</v>
      </c>
      <c r="C46" s="194">
        <f>C44+C26</f>
        <v>117</v>
      </c>
      <c r="D46" s="129"/>
      <c r="E46" s="129"/>
      <c r="F46" s="129"/>
      <c r="G46" s="129"/>
      <c r="H46" s="129"/>
      <c r="I46" s="129"/>
      <c r="J46" s="129"/>
      <c r="K46" s="129"/>
      <c r="L46" s="905">
        <f t="shared" ref="L46:U46" si="13">L44+L26</f>
        <v>94.719717301993995</v>
      </c>
      <c r="M46" s="905">
        <f t="shared" si="13"/>
        <v>1.1483999999999999E-2</v>
      </c>
      <c r="N46" s="905">
        <f t="shared" si="13"/>
        <v>10.090260000000001</v>
      </c>
      <c r="O46" s="905">
        <f t="shared" si="13"/>
        <v>12.848882821519828</v>
      </c>
      <c r="P46" s="905">
        <f t="shared" si="13"/>
        <v>48.127205166811223</v>
      </c>
      <c r="Q46" s="905">
        <f t="shared" si="13"/>
        <v>0</v>
      </c>
      <c r="R46" s="905">
        <f t="shared" si="13"/>
        <v>0</v>
      </c>
      <c r="S46" s="565">
        <f t="shared" si="13"/>
        <v>-2.0254848379999997</v>
      </c>
      <c r="T46" s="905">
        <f t="shared" si="13"/>
        <v>6.2575290000000006E-2</v>
      </c>
      <c r="U46" s="905">
        <f t="shared" si="13"/>
        <v>69.114922440331043</v>
      </c>
      <c r="V46" s="129"/>
      <c r="W46" s="806">
        <f t="shared" si="1"/>
        <v>69.114922440331043</v>
      </c>
      <c r="X46" s="565">
        <f t="shared" si="9"/>
        <v>7.2967830150899395</v>
      </c>
      <c r="Y46" s="1015">
        <f>+X46/$X$48</f>
        <v>1.0000264397250478</v>
      </c>
      <c r="Z46" s="1017">
        <f ca="1">+'F14.1'!Y46</f>
        <v>0.95874434943548204</v>
      </c>
    </row>
    <row r="47" spans="2:26">
      <c r="B47" s="181"/>
      <c r="C47" s="253"/>
      <c r="D47" s="253"/>
      <c r="E47" s="253"/>
      <c r="F47" s="253"/>
      <c r="G47" s="253"/>
      <c r="H47" s="253"/>
      <c r="I47" s="253"/>
      <c r="J47" s="253"/>
      <c r="K47" s="253"/>
      <c r="L47" s="253"/>
      <c r="M47" s="253"/>
      <c r="N47" s="253"/>
      <c r="O47" s="253"/>
      <c r="P47" s="253"/>
      <c r="Q47" s="253"/>
      <c r="R47" s="253"/>
      <c r="S47" s="253"/>
      <c r="T47" s="253"/>
      <c r="U47" s="253"/>
      <c r="V47" s="253"/>
    </row>
    <row r="48" spans="2:26">
      <c r="B48" s="255" t="s">
        <v>601</v>
      </c>
      <c r="C48" s="255"/>
      <c r="D48" s="255"/>
      <c r="E48" s="255"/>
      <c r="F48" s="255"/>
      <c r="G48" s="255"/>
      <c r="H48" s="255"/>
      <c r="I48" s="255"/>
      <c r="J48" s="255"/>
      <c r="K48" s="255"/>
      <c r="L48" s="255"/>
      <c r="M48" s="255"/>
      <c r="N48" s="255"/>
      <c r="O48" s="255"/>
      <c r="P48" s="255"/>
      <c r="Q48" s="255"/>
      <c r="R48" s="255"/>
      <c r="S48" s="255"/>
      <c r="T48" s="255"/>
      <c r="U48" s="255"/>
      <c r="V48" s="255"/>
      <c r="W48" s="1013">
        <f>+'ARR-Summary'!S84</f>
        <v>69.113095109099163</v>
      </c>
      <c r="X48" s="1025">
        <f>+'ARR-Summary'!S89</f>
        <v>7.296590095254035</v>
      </c>
    </row>
    <row r="49" spans="2:23">
      <c r="B49" s="246" t="s">
        <v>600</v>
      </c>
      <c r="C49" s="255"/>
      <c r="D49" s="255"/>
      <c r="E49" s="255"/>
      <c r="F49" s="255"/>
      <c r="G49" s="255"/>
      <c r="H49" s="255"/>
      <c r="I49" s="255"/>
      <c r="J49" s="255"/>
      <c r="K49" s="255"/>
      <c r="L49" s="255"/>
      <c r="M49" s="255"/>
      <c r="N49" s="255"/>
      <c r="O49" s="255"/>
      <c r="P49" s="255"/>
      <c r="Q49" s="255"/>
      <c r="R49" s="255"/>
      <c r="S49" s="255"/>
      <c r="T49" s="255"/>
      <c r="U49" s="255"/>
      <c r="V49" s="255"/>
      <c r="W49" s="255"/>
    </row>
    <row r="50" spans="2:23">
      <c r="B50" s="18" t="s">
        <v>602</v>
      </c>
      <c r="C50" s="255"/>
      <c r="D50" s="255"/>
      <c r="E50" s="255"/>
      <c r="F50" s="255"/>
      <c r="G50" s="255"/>
      <c r="H50" s="255"/>
      <c r="I50" s="255"/>
      <c r="J50" s="255"/>
      <c r="K50" s="255"/>
      <c r="L50" s="255"/>
      <c r="M50" s="255"/>
      <c r="N50" s="255"/>
      <c r="O50" s="255"/>
      <c r="P50" s="255"/>
      <c r="Q50" s="255"/>
      <c r="R50" s="255"/>
      <c r="S50" s="255"/>
      <c r="T50" s="255"/>
      <c r="U50" s="255"/>
      <c r="V50" s="255"/>
      <c r="W50" s="255"/>
    </row>
  </sheetData>
  <mergeCells count="9">
    <mergeCell ref="W10:W11"/>
    <mergeCell ref="X10:X11"/>
    <mergeCell ref="Y10:Y11"/>
    <mergeCell ref="B10:B11"/>
    <mergeCell ref="C10:C11"/>
    <mergeCell ref="D10:I10"/>
    <mergeCell ref="J10:L10"/>
    <mergeCell ref="M10:U10"/>
    <mergeCell ref="V10:V11"/>
  </mergeCells>
  <pageMargins left="0.70866141732283472" right="0.70866141732283472" top="0.74803149606299213" bottom="0.74803149606299213" header="0.31496062992125984" footer="0.31496062992125984"/>
  <pageSetup scale="4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C000"/>
    <pageSetUpPr fitToPage="1"/>
  </sheetPr>
  <dimension ref="C1:P168"/>
  <sheetViews>
    <sheetView showGridLines="0" topLeftCell="B40" zoomScale="90" zoomScaleNormal="90" zoomScaleSheetLayoutView="80" workbookViewId="0">
      <selection activeCell="C11" sqref="C11:C12"/>
    </sheetView>
  </sheetViews>
  <sheetFormatPr defaultColWidth="9.140625" defaultRowHeight="15"/>
  <cols>
    <col min="1" max="1" width="9.140625" style="74"/>
    <col min="2" max="2" width="4.140625" style="74" customWidth="1"/>
    <col min="3" max="3" width="18.7109375" style="74" customWidth="1"/>
    <col min="4" max="4" width="16" style="74" customWidth="1"/>
    <col min="5" max="5" width="18" style="74" bestFit="1" customWidth="1"/>
    <col min="6" max="6" width="18" style="74" customWidth="1"/>
    <col min="7" max="7" width="17.7109375" style="74" bestFit="1" customWidth="1"/>
    <col min="8" max="10" width="18.7109375" style="74" customWidth="1"/>
    <col min="11" max="11" width="20.5703125" style="74" customWidth="1"/>
    <col min="12" max="12" width="18.7109375" style="74" customWidth="1"/>
    <col min="13" max="13" width="8.28515625" style="74" customWidth="1"/>
    <col min="14" max="17" width="18.7109375" style="74" customWidth="1"/>
    <col min="18" max="257" width="9.140625" style="74"/>
    <col min="258" max="258" width="4.140625" style="74" customWidth="1"/>
    <col min="259" max="259" width="15.5703125" style="74" bestFit="1" customWidth="1"/>
    <col min="260" max="260" width="27.140625" style="74" customWidth="1"/>
    <col min="261" max="261" width="18" style="74" bestFit="1" customWidth="1"/>
    <col min="262" max="262" width="18" style="74" customWidth="1"/>
    <col min="263" max="263" width="17.7109375" style="74" bestFit="1" customWidth="1"/>
    <col min="264" max="266" width="18.7109375" style="74" customWidth="1"/>
    <col min="267" max="267" width="20.5703125" style="74" customWidth="1"/>
    <col min="268" max="273" width="18.7109375" style="74" customWidth="1"/>
    <col min="274" max="513" width="9.140625" style="74"/>
    <col min="514" max="514" width="4.140625" style="74" customWidth="1"/>
    <col min="515" max="515" width="15.5703125" style="74" bestFit="1" customWidth="1"/>
    <col min="516" max="516" width="27.140625" style="74" customWidth="1"/>
    <col min="517" max="517" width="18" style="74" bestFit="1" customWidth="1"/>
    <col min="518" max="518" width="18" style="74" customWidth="1"/>
    <col min="519" max="519" width="17.7109375" style="74" bestFit="1" customWidth="1"/>
    <col min="520" max="522" width="18.7109375" style="74" customWidth="1"/>
    <col min="523" max="523" width="20.5703125" style="74" customWidth="1"/>
    <col min="524" max="529" width="18.7109375" style="74" customWidth="1"/>
    <col min="530" max="769" width="9.140625" style="74"/>
    <col min="770" max="770" width="4.140625" style="74" customWidth="1"/>
    <col min="771" max="771" width="15.5703125" style="74" bestFit="1" customWidth="1"/>
    <col min="772" max="772" width="27.140625" style="74" customWidth="1"/>
    <col min="773" max="773" width="18" style="74" bestFit="1" customWidth="1"/>
    <col min="774" max="774" width="18" style="74" customWidth="1"/>
    <col min="775" max="775" width="17.7109375" style="74" bestFit="1" customWidth="1"/>
    <col min="776" max="778" width="18.7109375" style="74" customWidth="1"/>
    <col min="779" max="779" width="20.5703125" style="74" customWidth="1"/>
    <col min="780" max="785" width="18.7109375" style="74" customWidth="1"/>
    <col min="786" max="1025" width="9.140625" style="74"/>
    <col min="1026" max="1026" width="4.140625" style="74" customWidth="1"/>
    <col min="1027" max="1027" width="15.5703125" style="74" bestFit="1" customWidth="1"/>
    <col min="1028" max="1028" width="27.140625" style="74" customWidth="1"/>
    <col min="1029" max="1029" width="18" style="74" bestFit="1" customWidth="1"/>
    <col min="1030" max="1030" width="18" style="74" customWidth="1"/>
    <col min="1031" max="1031" width="17.7109375" style="74" bestFit="1" customWidth="1"/>
    <col min="1032" max="1034" width="18.7109375" style="74" customWidth="1"/>
    <col min="1035" max="1035" width="20.5703125" style="74" customWidth="1"/>
    <col min="1036" max="1041" width="18.7109375" style="74" customWidth="1"/>
    <col min="1042" max="1281" width="9.140625" style="74"/>
    <col min="1282" max="1282" width="4.140625" style="74" customWidth="1"/>
    <col min="1283" max="1283" width="15.5703125" style="74" bestFit="1" customWidth="1"/>
    <col min="1284" max="1284" width="27.140625" style="74" customWidth="1"/>
    <col min="1285" max="1285" width="18" style="74" bestFit="1" customWidth="1"/>
    <col min="1286" max="1286" width="18" style="74" customWidth="1"/>
    <col min="1287" max="1287" width="17.7109375" style="74" bestFit="1" customWidth="1"/>
    <col min="1288" max="1290" width="18.7109375" style="74" customWidth="1"/>
    <col min="1291" max="1291" width="20.5703125" style="74" customWidth="1"/>
    <col min="1292" max="1297" width="18.7109375" style="74" customWidth="1"/>
    <col min="1298" max="1537" width="9.140625" style="74"/>
    <col min="1538" max="1538" width="4.140625" style="74" customWidth="1"/>
    <col min="1539" max="1539" width="15.5703125" style="74" bestFit="1" customWidth="1"/>
    <col min="1540" max="1540" width="27.140625" style="74" customWidth="1"/>
    <col min="1541" max="1541" width="18" style="74" bestFit="1" customWidth="1"/>
    <col min="1542" max="1542" width="18" style="74" customWidth="1"/>
    <col min="1543" max="1543" width="17.7109375" style="74" bestFit="1" customWidth="1"/>
    <col min="1544" max="1546" width="18.7109375" style="74" customWidth="1"/>
    <col min="1547" max="1547" width="20.5703125" style="74" customWidth="1"/>
    <col min="1548" max="1553" width="18.7109375" style="74" customWidth="1"/>
    <col min="1554" max="1793" width="9.140625" style="74"/>
    <col min="1794" max="1794" width="4.140625" style="74" customWidth="1"/>
    <col min="1795" max="1795" width="15.5703125" style="74" bestFit="1" customWidth="1"/>
    <col min="1796" max="1796" width="27.140625" style="74" customWidth="1"/>
    <col min="1797" max="1797" width="18" style="74" bestFit="1" customWidth="1"/>
    <col min="1798" max="1798" width="18" style="74" customWidth="1"/>
    <col min="1799" max="1799" width="17.7109375" style="74" bestFit="1" customWidth="1"/>
    <col min="1800" max="1802" width="18.7109375" style="74" customWidth="1"/>
    <col min="1803" max="1803" width="20.5703125" style="74" customWidth="1"/>
    <col min="1804" max="1809" width="18.7109375" style="74" customWidth="1"/>
    <col min="1810" max="2049" width="9.140625" style="74"/>
    <col min="2050" max="2050" width="4.140625" style="74" customWidth="1"/>
    <col min="2051" max="2051" width="15.5703125" style="74" bestFit="1" customWidth="1"/>
    <col min="2052" max="2052" width="27.140625" style="74" customWidth="1"/>
    <col min="2053" max="2053" width="18" style="74" bestFit="1" customWidth="1"/>
    <col min="2054" max="2054" width="18" style="74" customWidth="1"/>
    <col min="2055" max="2055" width="17.7109375" style="74" bestFit="1" customWidth="1"/>
    <col min="2056" max="2058" width="18.7109375" style="74" customWidth="1"/>
    <col min="2059" max="2059" width="20.5703125" style="74" customWidth="1"/>
    <col min="2060" max="2065" width="18.7109375" style="74" customWidth="1"/>
    <col min="2066" max="2305" width="9.140625" style="74"/>
    <col min="2306" max="2306" width="4.140625" style="74" customWidth="1"/>
    <col min="2307" max="2307" width="15.5703125" style="74" bestFit="1" customWidth="1"/>
    <col min="2308" max="2308" width="27.140625" style="74" customWidth="1"/>
    <col min="2309" max="2309" width="18" style="74" bestFit="1" customWidth="1"/>
    <col min="2310" max="2310" width="18" style="74" customWidth="1"/>
    <col min="2311" max="2311" width="17.7109375" style="74" bestFit="1" customWidth="1"/>
    <col min="2312" max="2314" width="18.7109375" style="74" customWidth="1"/>
    <col min="2315" max="2315" width="20.5703125" style="74" customWidth="1"/>
    <col min="2316" max="2321" width="18.7109375" style="74" customWidth="1"/>
    <col min="2322" max="2561" width="9.140625" style="74"/>
    <col min="2562" max="2562" width="4.140625" style="74" customWidth="1"/>
    <col min="2563" max="2563" width="15.5703125" style="74" bestFit="1" customWidth="1"/>
    <col min="2564" max="2564" width="27.140625" style="74" customWidth="1"/>
    <col min="2565" max="2565" width="18" style="74" bestFit="1" customWidth="1"/>
    <col min="2566" max="2566" width="18" style="74" customWidth="1"/>
    <col min="2567" max="2567" width="17.7109375" style="74" bestFit="1" customWidth="1"/>
    <col min="2568" max="2570" width="18.7109375" style="74" customWidth="1"/>
    <col min="2571" max="2571" width="20.5703125" style="74" customWidth="1"/>
    <col min="2572" max="2577" width="18.7109375" style="74" customWidth="1"/>
    <col min="2578" max="2817" width="9.140625" style="74"/>
    <col min="2818" max="2818" width="4.140625" style="74" customWidth="1"/>
    <col min="2819" max="2819" width="15.5703125" style="74" bestFit="1" customWidth="1"/>
    <col min="2820" max="2820" width="27.140625" style="74" customWidth="1"/>
    <col min="2821" max="2821" width="18" style="74" bestFit="1" customWidth="1"/>
    <col min="2822" max="2822" width="18" style="74" customWidth="1"/>
    <col min="2823" max="2823" width="17.7109375" style="74" bestFit="1" customWidth="1"/>
    <col min="2824" max="2826" width="18.7109375" style="74" customWidth="1"/>
    <col min="2827" max="2827" width="20.5703125" style="74" customWidth="1"/>
    <col min="2828" max="2833" width="18.7109375" style="74" customWidth="1"/>
    <col min="2834" max="3073" width="9.140625" style="74"/>
    <col min="3074" max="3074" width="4.140625" style="74" customWidth="1"/>
    <col min="3075" max="3075" width="15.5703125" style="74" bestFit="1" customWidth="1"/>
    <col min="3076" max="3076" width="27.140625" style="74" customWidth="1"/>
    <col min="3077" max="3077" width="18" style="74" bestFit="1" customWidth="1"/>
    <col min="3078" max="3078" width="18" style="74" customWidth="1"/>
    <col min="3079" max="3079" width="17.7109375" style="74" bestFit="1" customWidth="1"/>
    <col min="3080" max="3082" width="18.7109375" style="74" customWidth="1"/>
    <col min="3083" max="3083" width="20.5703125" style="74" customWidth="1"/>
    <col min="3084" max="3089" width="18.7109375" style="74" customWidth="1"/>
    <col min="3090" max="3329" width="9.140625" style="74"/>
    <col min="3330" max="3330" width="4.140625" style="74" customWidth="1"/>
    <col min="3331" max="3331" width="15.5703125" style="74" bestFit="1" customWidth="1"/>
    <col min="3332" max="3332" width="27.140625" style="74" customWidth="1"/>
    <col min="3333" max="3333" width="18" style="74" bestFit="1" customWidth="1"/>
    <col min="3334" max="3334" width="18" style="74" customWidth="1"/>
    <col min="3335" max="3335" width="17.7109375" style="74" bestFit="1" customWidth="1"/>
    <col min="3336" max="3338" width="18.7109375" style="74" customWidth="1"/>
    <col min="3339" max="3339" width="20.5703125" style="74" customWidth="1"/>
    <col min="3340" max="3345" width="18.7109375" style="74" customWidth="1"/>
    <col min="3346" max="3585" width="9.140625" style="74"/>
    <col min="3586" max="3586" width="4.140625" style="74" customWidth="1"/>
    <col min="3587" max="3587" width="15.5703125" style="74" bestFit="1" customWidth="1"/>
    <col min="3588" max="3588" width="27.140625" style="74" customWidth="1"/>
    <col min="3589" max="3589" width="18" style="74" bestFit="1" customWidth="1"/>
    <col min="3590" max="3590" width="18" style="74" customWidth="1"/>
    <col min="3591" max="3591" width="17.7109375" style="74" bestFit="1" customWidth="1"/>
    <col min="3592" max="3594" width="18.7109375" style="74" customWidth="1"/>
    <col min="3595" max="3595" width="20.5703125" style="74" customWidth="1"/>
    <col min="3596" max="3601" width="18.7109375" style="74" customWidth="1"/>
    <col min="3602" max="3841" width="9.140625" style="74"/>
    <col min="3842" max="3842" width="4.140625" style="74" customWidth="1"/>
    <col min="3843" max="3843" width="15.5703125" style="74" bestFit="1" customWidth="1"/>
    <col min="3844" max="3844" width="27.140625" style="74" customWidth="1"/>
    <col min="3845" max="3845" width="18" style="74" bestFit="1" customWidth="1"/>
    <col min="3846" max="3846" width="18" style="74" customWidth="1"/>
    <col min="3847" max="3847" width="17.7109375" style="74" bestFit="1" customWidth="1"/>
    <col min="3848" max="3850" width="18.7109375" style="74" customWidth="1"/>
    <col min="3851" max="3851" width="20.5703125" style="74" customWidth="1"/>
    <col min="3852" max="3857" width="18.7109375" style="74" customWidth="1"/>
    <col min="3858" max="4097" width="9.140625" style="74"/>
    <col min="4098" max="4098" width="4.140625" style="74" customWidth="1"/>
    <col min="4099" max="4099" width="15.5703125" style="74" bestFit="1" customWidth="1"/>
    <col min="4100" max="4100" width="27.140625" style="74" customWidth="1"/>
    <col min="4101" max="4101" width="18" style="74" bestFit="1" customWidth="1"/>
    <col min="4102" max="4102" width="18" style="74" customWidth="1"/>
    <col min="4103" max="4103" width="17.7109375" style="74" bestFit="1" customWidth="1"/>
    <col min="4104" max="4106" width="18.7109375" style="74" customWidth="1"/>
    <col min="4107" max="4107" width="20.5703125" style="74" customWidth="1"/>
    <col min="4108" max="4113" width="18.7109375" style="74" customWidth="1"/>
    <col min="4114" max="4353" width="9.140625" style="74"/>
    <col min="4354" max="4354" width="4.140625" style="74" customWidth="1"/>
    <col min="4355" max="4355" width="15.5703125" style="74" bestFit="1" customWidth="1"/>
    <col min="4356" max="4356" width="27.140625" style="74" customWidth="1"/>
    <col min="4357" max="4357" width="18" style="74" bestFit="1" customWidth="1"/>
    <col min="4358" max="4358" width="18" style="74" customWidth="1"/>
    <col min="4359" max="4359" width="17.7109375" style="74" bestFit="1" customWidth="1"/>
    <col min="4360" max="4362" width="18.7109375" style="74" customWidth="1"/>
    <col min="4363" max="4363" width="20.5703125" style="74" customWidth="1"/>
    <col min="4364" max="4369" width="18.7109375" style="74" customWidth="1"/>
    <col min="4370" max="4609" width="9.140625" style="74"/>
    <col min="4610" max="4610" width="4.140625" style="74" customWidth="1"/>
    <col min="4611" max="4611" width="15.5703125" style="74" bestFit="1" customWidth="1"/>
    <col min="4612" max="4612" width="27.140625" style="74" customWidth="1"/>
    <col min="4613" max="4613" width="18" style="74" bestFit="1" customWidth="1"/>
    <col min="4614" max="4614" width="18" style="74" customWidth="1"/>
    <col min="4615" max="4615" width="17.7109375" style="74" bestFit="1" customWidth="1"/>
    <col min="4616" max="4618" width="18.7109375" style="74" customWidth="1"/>
    <col min="4619" max="4619" width="20.5703125" style="74" customWidth="1"/>
    <col min="4620" max="4625" width="18.7109375" style="74" customWidth="1"/>
    <col min="4626" max="4865" width="9.140625" style="74"/>
    <col min="4866" max="4866" width="4.140625" style="74" customWidth="1"/>
    <col min="4867" max="4867" width="15.5703125" style="74" bestFit="1" customWidth="1"/>
    <col min="4868" max="4868" width="27.140625" style="74" customWidth="1"/>
    <col min="4869" max="4869" width="18" style="74" bestFit="1" customWidth="1"/>
    <col min="4870" max="4870" width="18" style="74" customWidth="1"/>
    <col min="4871" max="4871" width="17.7109375" style="74" bestFit="1" customWidth="1"/>
    <col min="4872" max="4874" width="18.7109375" style="74" customWidth="1"/>
    <col min="4875" max="4875" width="20.5703125" style="74" customWidth="1"/>
    <col min="4876" max="4881" width="18.7109375" style="74" customWidth="1"/>
    <col min="4882" max="5121" width="9.140625" style="74"/>
    <col min="5122" max="5122" width="4.140625" style="74" customWidth="1"/>
    <col min="5123" max="5123" width="15.5703125" style="74" bestFit="1" customWidth="1"/>
    <col min="5124" max="5124" width="27.140625" style="74" customWidth="1"/>
    <col min="5125" max="5125" width="18" style="74" bestFit="1" customWidth="1"/>
    <col min="5126" max="5126" width="18" style="74" customWidth="1"/>
    <col min="5127" max="5127" width="17.7109375" style="74" bestFit="1" customWidth="1"/>
    <col min="5128" max="5130" width="18.7109375" style="74" customWidth="1"/>
    <col min="5131" max="5131" width="20.5703125" style="74" customWidth="1"/>
    <col min="5132" max="5137" width="18.7109375" style="74" customWidth="1"/>
    <col min="5138" max="5377" width="9.140625" style="74"/>
    <col min="5378" max="5378" width="4.140625" style="74" customWidth="1"/>
    <col min="5379" max="5379" width="15.5703125" style="74" bestFit="1" customWidth="1"/>
    <col min="5380" max="5380" width="27.140625" style="74" customWidth="1"/>
    <col min="5381" max="5381" width="18" style="74" bestFit="1" customWidth="1"/>
    <col min="5382" max="5382" width="18" style="74" customWidth="1"/>
    <col min="5383" max="5383" width="17.7109375" style="74" bestFit="1" customWidth="1"/>
    <col min="5384" max="5386" width="18.7109375" style="74" customWidth="1"/>
    <col min="5387" max="5387" width="20.5703125" style="74" customWidth="1"/>
    <col min="5388" max="5393" width="18.7109375" style="74" customWidth="1"/>
    <col min="5394" max="5633" width="9.140625" style="74"/>
    <col min="5634" max="5634" width="4.140625" style="74" customWidth="1"/>
    <col min="5635" max="5635" width="15.5703125" style="74" bestFit="1" customWidth="1"/>
    <col min="5636" max="5636" width="27.140625" style="74" customWidth="1"/>
    <col min="5637" max="5637" width="18" style="74" bestFit="1" customWidth="1"/>
    <col min="5638" max="5638" width="18" style="74" customWidth="1"/>
    <col min="5639" max="5639" width="17.7109375" style="74" bestFit="1" customWidth="1"/>
    <col min="5640" max="5642" width="18.7109375" style="74" customWidth="1"/>
    <col min="5643" max="5643" width="20.5703125" style="74" customWidth="1"/>
    <col min="5644" max="5649" width="18.7109375" style="74" customWidth="1"/>
    <col min="5650" max="5889" width="9.140625" style="74"/>
    <col min="5890" max="5890" width="4.140625" style="74" customWidth="1"/>
    <col min="5891" max="5891" width="15.5703125" style="74" bestFit="1" customWidth="1"/>
    <col min="5892" max="5892" width="27.140625" style="74" customWidth="1"/>
    <col min="5893" max="5893" width="18" style="74" bestFit="1" customWidth="1"/>
    <col min="5894" max="5894" width="18" style="74" customWidth="1"/>
    <col min="5895" max="5895" width="17.7109375" style="74" bestFit="1" customWidth="1"/>
    <col min="5896" max="5898" width="18.7109375" style="74" customWidth="1"/>
    <col min="5899" max="5899" width="20.5703125" style="74" customWidth="1"/>
    <col min="5900" max="5905" width="18.7109375" style="74" customWidth="1"/>
    <col min="5906" max="6145" width="9.140625" style="74"/>
    <col min="6146" max="6146" width="4.140625" style="74" customWidth="1"/>
    <col min="6147" max="6147" width="15.5703125" style="74" bestFit="1" customWidth="1"/>
    <col min="6148" max="6148" width="27.140625" style="74" customWidth="1"/>
    <col min="6149" max="6149" width="18" style="74" bestFit="1" customWidth="1"/>
    <col min="6150" max="6150" width="18" style="74" customWidth="1"/>
    <col min="6151" max="6151" width="17.7109375" style="74" bestFit="1" customWidth="1"/>
    <col min="6152" max="6154" width="18.7109375" style="74" customWidth="1"/>
    <col min="6155" max="6155" width="20.5703125" style="74" customWidth="1"/>
    <col min="6156" max="6161" width="18.7109375" style="74" customWidth="1"/>
    <col min="6162" max="6401" width="9.140625" style="74"/>
    <col min="6402" max="6402" width="4.140625" style="74" customWidth="1"/>
    <col min="6403" max="6403" width="15.5703125" style="74" bestFit="1" customWidth="1"/>
    <col min="6404" max="6404" width="27.140625" style="74" customWidth="1"/>
    <col min="6405" max="6405" width="18" style="74" bestFit="1" customWidth="1"/>
    <col min="6406" max="6406" width="18" style="74" customWidth="1"/>
    <col min="6407" max="6407" width="17.7109375" style="74" bestFit="1" customWidth="1"/>
    <col min="6408" max="6410" width="18.7109375" style="74" customWidth="1"/>
    <col min="6411" max="6411" width="20.5703125" style="74" customWidth="1"/>
    <col min="6412" max="6417" width="18.7109375" style="74" customWidth="1"/>
    <col min="6418" max="6657" width="9.140625" style="74"/>
    <col min="6658" max="6658" width="4.140625" style="74" customWidth="1"/>
    <col min="6659" max="6659" width="15.5703125" style="74" bestFit="1" customWidth="1"/>
    <col min="6660" max="6660" width="27.140625" style="74" customWidth="1"/>
    <col min="6661" max="6661" width="18" style="74" bestFit="1" customWidth="1"/>
    <col min="6662" max="6662" width="18" style="74" customWidth="1"/>
    <col min="6663" max="6663" width="17.7109375" style="74" bestFit="1" customWidth="1"/>
    <col min="6664" max="6666" width="18.7109375" style="74" customWidth="1"/>
    <col min="6667" max="6667" width="20.5703125" style="74" customWidth="1"/>
    <col min="6668" max="6673" width="18.7109375" style="74" customWidth="1"/>
    <col min="6674" max="6913" width="9.140625" style="74"/>
    <col min="6914" max="6914" width="4.140625" style="74" customWidth="1"/>
    <col min="6915" max="6915" width="15.5703125" style="74" bestFit="1" customWidth="1"/>
    <col min="6916" max="6916" width="27.140625" style="74" customWidth="1"/>
    <col min="6917" max="6917" width="18" style="74" bestFit="1" customWidth="1"/>
    <col min="6918" max="6918" width="18" style="74" customWidth="1"/>
    <col min="6919" max="6919" width="17.7109375" style="74" bestFit="1" customWidth="1"/>
    <col min="6920" max="6922" width="18.7109375" style="74" customWidth="1"/>
    <col min="6923" max="6923" width="20.5703125" style="74" customWidth="1"/>
    <col min="6924" max="6929" width="18.7109375" style="74" customWidth="1"/>
    <col min="6930" max="7169" width="9.140625" style="74"/>
    <col min="7170" max="7170" width="4.140625" style="74" customWidth="1"/>
    <col min="7171" max="7171" width="15.5703125" style="74" bestFit="1" customWidth="1"/>
    <col min="7172" max="7172" width="27.140625" style="74" customWidth="1"/>
    <col min="7173" max="7173" width="18" style="74" bestFit="1" customWidth="1"/>
    <col min="7174" max="7174" width="18" style="74" customWidth="1"/>
    <col min="7175" max="7175" width="17.7109375" style="74" bestFit="1" customWidth="1"/>
    <col min="7176" max="7178" width="18.7109375" style="74" customWidth="1"/>
    <col min="7179" max="7179" width="20.5703125" style="74" customWidth="1"/>
    <col min="7180" max="7185" width="18.7109375" style="74" customWidth="1"/>
    <col min="7186" max="7425" width="9.140625" style="74"/>
    <col min="7426" max="7426" width="4.140625" style="74" customWidth="1"/>
    <col min="7427" max="7427" width="15.5703125" style="74" bestFit="1" customWidth="1"/>
    <col min="7428" max="7428" width="27.140625" style="74" customWidth="1"/>
    <col min="7429" max="7429" width="18" style="74" bestFit="1" customWidth="1"/>
    <col min="7430" max="7430" width="18" style="74" customWidth="1"/>
    <col min="7431" max="7431" width="17.7109375" style="74" bestFit="1" customWidth="1"/>
    <col min="7432" max="7434" width="18.7109375" style="74" customWidth="1"/>
    <col min="7435" max="7435" width="20.5703125" style="74" customWidth="1"/>
    <col min="7436" max="7441" width="18.7109375" style="74" customWidth="1"/>
    <col min="7442" max="7681" width="9.140625" style="74"/>
    <col min="7682" max="7682" width="4.140625" style="74" customWidth="1"/>
    <col min="7683" max="7683" width="15.5703125" style="74" bestFit="1" customWidth="1"/>
    <col min="7684" max="7684" width="27.140625" style="74" customWidth="1"/>
    <col min="7685" max="7685" width="18" style="74" bestFit="1" customWidth="1"/>
    <col min="7686" max="7686" width="18" style="74" customWidth="1"/>
    <col min="7687" max="7687" width="17.7109375" style="74" bestFit="1" customWidth="1"/>
    <col min="7688" max="7690" width="18.7109375" style="74" customWidth="1"/>
    <col min="7691" max="7691" width="20.5703125" style="74" customWidth="1"/>
    <col min="7692" max="7697" width="18.7109375" style="74" customWidth="1"/>
    <col min="7698" max="7937" width="9.140625" style="74"/>
    <col min="7938" max="7938" width="4.140625" style="74" customWidth="1"/>
    <col min="7939" max="7939" width="15.5703125" style="74" bestFit="1" customWidth="1"/>
    <col min="7940" max="7940" width="27.140625" style="74" customWidth="1"/>
    <col min="7941" max="7941" width="18" style="74" bestFit="1" customWidth="1"/>
    <col min="7942" max="7942" width="18" style="74" customWidth="1"/>
    <col min="7943" max="7943" width="17.7109375" style="74" bestFit="1" customWidth="1"/>
    <col min="7944" max="7946" width="18.7109375" style="74" customWidth="1"/>
    <col min="7947" max="7947" width="20.5703125" style="74" customWidth="1"/>
    <col min="7948" max="7953" width="18.7109375" style="74" customWidth="1"/>
    <col min="7954" max="8193" width="9.140625" style="74"/>
    <col min="8194" max="8194" width="4.140625" style="74" customWidth="1"/>
    <col min="8195" max="8195" width="15.5703125" style="74" bestFit="1" customWidth="1"/>
    <col min="8196" max="8196" width="27.140625" style="74" customWidth="1"/>
    <col min="8197" max="8197" width="18" style="74" bestFit="1" customWidth="1"/>
    <col min="8198" max="8198" width="18" style="74" customWidth="1"/>
    <col min="8199" max="8199" width="17.7109375" style="74" bestFit="1" customWidth="1"/>
    <col min="8200" max="8202" width="18.7109375" style="74" customWidth="1"/>
    <col min="8203" max="8203" width="20.5703125" style="74" customWidth="1"/>
    <col min="8204" max="8209" width="18.7109375" style="74" customWidth="1"/>
    <col min="8210" max="8449" width="9.140625" style="74"/>
    <col min="8450" max="8450" width="4.140625" style="74" customWidth="1"/>
    <col min="8451" max="8451" width="15.5703125" style="74" bestFit="1" customWidth="1"/>
    <col min="8452" max="8452" width="27.140625" style="74" customWidth="1"/>
    <col min="8453" max="8453" width="18" style="74" bestFit="1" customWidth="1"/>
    <col min="8454" max="8454" width="18" style="74" customWidth="1"/>
    <col min="8455" max="8455" width="17.7109375" style="74" bestFit="1" customWidth="1"/>
    <col min="8456" max="8458" width="18.7109375" style="74" customWidth="1"/>
    <col min="8459" max="8459" width="20.5703125" style="74" customWidth="1"/>
    <col min="8460" max="8465" width="18.7109375" style="74" customWidth="1"/>
    <col min="8466" max="8705" width="9.140625" style="74"/>
    <col min="8706" max="8706" width="4.140625" style="74" customWidth="1"/>
    <col min="8707" max="8707" width="15.5703125" style="74" bestFit="1" customWidth="1"/>
    <col min="8708" max="8708" width="27.140625" style="74" customWidth="1"/>
    <col min="8709" max="8709" width="18" style="74" bestFit="1" customWidth="1"/>
    <col min="8710" max="8710" width="18" style="74" customWidth="1"/>
    <col min="8711" max="8711" width="17.7109375" style="74" bestFit="1" customWidth="1"/>
    <col min="8712" max="8714" width="18.7109375" style="74" customWidth="1"/>
    <col min="8715" max="8715" width="20.5703125" style="74" customWidth="1"/>
    <col min="8716" max="8721" width="18.7109375" style="74" customWidth="1"/>
    <col min="8722" max="8961" width="9.140625" style="74"/>
    <col min="8962" max="8962" width="4.140625" style="74" customWidth="1"/>
    <col min="8963" max="8963" width="15.5703125" style="74" bestFit="1" customWidth="1"/>
    <col min="8964" max="8964" width="27.140625" style="74" customWidth="1"/>
    <col min="8965" max="8965" width="18" style="74" bestFit="1" customWidth="1"/>
    <col min="8966" max="8966" width="18" style="74" customWidth="1"/>
    <col min="8967" max="8967" width="17.7109375" style="74" bestFit="1" customWidth="1"/>
    <col min="8968" max="8970" width="18.7109375" style="74" customWidth="1"/>
    <col min="8971" max="8971" width="20.5703125" style="74" customWidth="1"/>
    <col min="8972" max="8977" width="18.7109375" style="74" customWidth="1"/>
    <col min="8978" max="9217" width="9.140625" style="74"/>
    <col min="9218" max="9218" width="4.140625" style="74" customWidth="1"/>
    <col min="9219" max="9219" width="15.5703125" style="74" bestFit="1" customWidth="1"/>
    <col min="9220" max="9220" width="27.140625" style="74" customWidth="1"/>
    <col min="9221" max="9221" width="18" style="74" bestFit="1" customWidth="1"/>
    <col min="9222" max="9222" width="18" style="74" customWidth="1"/>
    <col min="9223" max="9223" width="17.7109375" style="74" bestFit="1" customWidth="1"/>
    <col min="9224" max="9226" width="18.7109375" style="74" customWidth="1"/>
    <col min="9227" max="9227" width="20.5703125" style="74" customWidth="1"/>
    <col min="9228" max="9233" width="18.7109375" style="74" customWidth="1"/>
    <col min="9234" max="9473" width="9.140625" style="74"/>
    <col min="9474" max="9474" width="4.140625" style="74" customWidth="1"/>
    <col min="9475" max="9475" width="15.5703125" style="74" bestFit="1" customWidth="1"/>
    <col min="9476" max="9476" width="27.140625" style="74" customWidth="1"/>
    <col min="9477" max="9477" width="18" style="74" bestFit="1" customWidth="1"/>
    <col min="9478" max="9478" width="18" style="74" customWidth="1"/>
    <col min="9479" max="9479" width="17.7109375" style="74" bestFit="1" customWidth="1"/>
    <col min="9480" max="9482" width="18.7109375" style="74" customWidth="1"/>
    <col min="9483" max="9483" width="20.5703125" style="74" customWidth="1"/>
    <col min="9484" max="9489" width="18.7109375" style="74" customWidth="1"/>
    <col min="9490" max="9729" width="9.140625" style="74"/>
    <col min="9730" max="9730" width="4.140625" style="74" customWidth="1"/>
    <col min="9731" max="9731" width="15.5703125" style="74" bestFit="1" customWidth="1"/>
    <col min="9732" max="9732" width="27.140625" style="74" customWidth="1"/>
    <col min="9733" max="9733" width="18" style="74" bestFit="1" customWidth="1"/>
    <col min="9734" max="9734" width="18" style="74" customWidth="1"/>
    <col min="9735" max="9735" width="17.7109375" style="74" bestFit="1" customWidth="1"/>
    <col min="9736" max="9738" width="18.7109375" style="74" customWidth="1"/>
    <col min="9739" max="9739" width="20.5703125" style="74" customWidth="1"/>
    <col min="9740" max="9745" width="18.7109375" style="74" customWidth="1"/>
    <col min="9746" max="9985" width="9.140625" style="74"/>
    <col min="9986" max="9986" width="4.140625" style="74" customWidth="1"/>
    <col min="9987" max="9987" width="15.5703125" style="74" bestFit="1" customWidth="1"/>
    <col min="9988" max="9988" width="27.140625" style="74" customWidth="1"/>
    <col min="9989" max="9989" width="18" style="74" bestFit="1" customWidth="1"/>
    <col min="9990" max="9990" width="18" style="74" customWidth="1"/>
    <col min="9991" max="9991" width="17.7109375" style="74" bestFit="1" customWidth="1"/>
    <col min="9992" max="9994" width="18.7109375" style="74" customWidth="1"/>
    <col min="9995" max="9995" width="20.5703125" style="74" customWidth="1"/>
    <col min="9996" max="10001" width="18.7109375" style="74" customWidth="1"/>
    <col min="10002" max="10241" width="9.140625" style="74"/>
    <col min="10242" max="10242" width="4.140625" style="74" customWidth="1"/>
    <col min="10243" max="10243" width="15.5703125" style="74" bestFit="1" customWidth="1"/>
    <col min="10244" max="10244" width="27.140625" style="74" customWidth="1"/>
    <col min="10245" max="10245" width="18" style="74" bestFit="1" customWidth="1"/>
    <col min="10246" max="10246" width="18" style="74" customWidth="1"/>
    <col min="10247" max="10247" width="17.7109375" style="74" bestFit="1" customWidth="1"/>
    <col min="10248" max="10250" width="18.7109375" style="74" customWidth="1"/>
    <col min="10251" max="10251" width="20.5703125" style="74" customWidth="1"/>
    <col min="10252" max="10257" width="18.7109375" style="74" customWidth="1"/>
    <col min="10258" max="10497" width="9.140625" style="74"/>
    <col min="10498" max="10498" width="4.140625" style="74" customWidth="1"/>
    <col min="10499" max="10499" width="15.5703125" style="74" bestFit="1" customWidth="1"/>
    <col min="10500" max="10500" width="27.140625" style="74" customWidth="1"/>
    <col min="10501" max="10501" width="18" style="74" bestFit="1" customWidth="1"/>
    <col min="10502" max="10502" width="18" style="74" customWidth="1"/>
    <col min="10503" max="10503" width="17.7109375" style="74" bestFit="1" customWidth="1"/>
    <col min="10504" max="10506" width="18.7109375" style="74" customWidth="1"/>
    <col min="10507" max="10507" width="20.5703125" style="74" customWidth="1"/>
    <col min="10508" max="10513" width="18.7109375" style="74" customWidth="1"/>
    <col min="10514" max="10753" width="9.140625" style="74"/>
    <col min="10754" max="10754" width="4.140625" style="74" customWidth="1"/>
    <col min="10755" max="10755" width="15.5703125" style="74" bestFit="1" customWidth="1"/>
    <col min="10756" max="10756" width="27.140625" style="74" customWidth="1"/>
    <col min="10757" max="10757" width="18" style="74" bestFit="1" customWidth="1"/>
    <col min="10758" max="10758" width="18" style="74" customWidth="1"/>
    <col min="10759" max="10759" width="17.7109375" style="74" bestFit="1" customWidth="1"/>
    <col min="10760" max="10762" width="18.7109375" style="74" customWidth="1"/>
    <col min="10763" max="10763" width="20.5703125" style="74" customWidth="1"/>
    <col min="10764" max="10769" width="18.7109375" style="74" customWidth="1"/>
    <col min="10770" max="11009" width="9.140625" style="74"/>
    <col min="11010" max="11010" width="4.140625" style="74" customWidth="1"/>
    <col min="11011" max="11011" width="15.5703125" style="74" bestFit="1" customWidth="1"/>
    <col min="11012" max="11012" width="27.140625" style="74" customWidth="1"/>
    <col min="11013" max="11013" width="18" style="74" bestFit="1" customWidth="1"/>
    <col min="11014" max="11014" width="18" style="74" customWidth="1"/>
    <col min="11015" max="11015" width="17.7109375" style="74" bestFit="1" customWidth="1"/>
    <col min="11016" max="11018" width="18.7109375" style="74" customWidth="1"/>
    <col min="11019" max="11019" width="20.5703125" style="74" customWidth="1"/>
    <col min="11020" max="11025" width="18.7109375" style="74" customWidth="1"/>
    <col min="11026" max="11265" width="9.140625" style="74"/>
    <col min="11266" max="11266" width="4.140625" style="74" customWidth="1"/>
    <col min="11267" max="11267" width="15.5703125" style="74" bestFit="1" customWidth="1"/>
    <col min="11268" max="11268" width="27.140625" style="74" customWidth="1"/>
    <col min="11269" max="11269" width="18" style="74" bestFit="1" customWidth="1"/>
    <col min="11270" max="11270" width="18" style="74" customWidth="1"/>
    <col min="11271" max="11271" width="17.7109375" style="74" bestFit="1" customWidth="1"/>
    <col min="11272" max="11274" width="18.7109375" style="74" customWidth="1"/>
    <col min="11275" max="11275" width="20.5703125" style="74" customWidth="1"/>
    <col min="11276" max="11281" width="18.7109375" style="74" customWidth="1"/>
    <col min="11282" max="11521" width="9.140625" style="74"/>
    <col min="11522" max="11522" width="4.140625" style="74" customWidth="1"/>
    <col min="11523" max="11523" width="15.5703125" style="74" bestFit="1" customWidth="1"/>
    <col min="11524" max="11524" width="27.140625" style="74" customWidth="1"/>
    <col min="11525" max="11525" width="18" style="74" bestFit="1" customWidth="1"/>
    <col min="11526" max="11526" width="18" style="74" customWidth="1"/>
    <col min="11527" max="11527" width="17.7109375" style="74" bestFit="1" customWidth="1"/>
    <col min="11528" max="11530" width="18.7109375" style="74" customWidth="1"/>
    <col min="11531" max="11531" width="20.5703125" style="74" customWidth="1"/>
    <col min="11532" max="11537" width="18.7109375" style="74" customWidth="1"/>
    <col min="11538" max="11777" width="9.140625" style="74"/>
    <col min="11778" max="11778" width="4.140625" style="74" customWidth="1"/>
    <col min="11779" max="11779" width="15.5703125" style="74" bestFit="1" customWidth="1"/>
    <col min="11780" max="11780" width="27.140625" style="74" customWidth="1"/>
    <col min="11781" max="11781" width="18" style="74" bestFit="1" customWidth="1"/>
    <col min="11782" max="11782" width="18" style="74" customWidth="1"/>
    <col min="11783" max="11783" width="17.7109375" style="74" bestFit="1" customWidth="1"/>
    <col min="11784" max="11786" width="18.7109375" style="74" customWidth="1"/>
    <col min="11787" max="11787" width="20.5703125" style="74" customWidth="1"/>
    <col min="11788" max="11793" width="18.7109375" style="74" customWidth="1"/>
    <col min="11794" max="12033" width="9.140625" style="74"/>
    <col min="12034" max="12034" width="4.140625" style="74" customWidth="1"/>
    <col min="12035" max="12035" width="15.5703125" style="74" bestFit="1" customWidth="1"/>
    <col min="12036" max="12036" width="27.140625" style="74" customWidth="1"/>
    <col min="12037" max="12037" width="18" style="74" bestFit="1" customWidth="1"/>
    <col min="12038" max="12038" width="18" style="74" customWidth="1"/>
    <col min="12039" max="12039" width="17.7109375" style="74" bestFit="1" customWidth="1"/>
    <col min="12040" max="12042" width="18.7109375" style="74" customWidth="1"/>
    <col min="12043" max="12043" width="20.5703125" style="74" customWidth="1"/>
    <col min="12044" max="12049" width="18.7109375" style="74" customWidth="1"/>
    <col min="12050" max="12289" width="9.140625" style="74"/>
    <col min="12290" max="12290" width="4.140625" style="74" customWidth="1"/>
    <col min="12291" max="12291" width="15.5703125" style="74" bestFit="1" customWidth="1"/>
    <col min="12292" max="12292" width="27.140625" style="74" customWidth="1"/>
    <col min="12293" max="12293" width="18" style="74" bestFit="1" customWidth="1"/>
    <col min="12294" max="12294" width="18" style="74" customWidth="1"/>
    <col min="12295" max="12295" width="17.7109375" style="74" bestFit="1" customWidth="1"/>
    <col min="12296" max="12298" width="18.7109375" style="74" customWidth="1"/>
    <col min="12299" max="12299" width="20.5703125" style="74" customWidth="1"/>
    <col min="12300" max="12305" width="18.7109375" style="74" customWidth="1"/>
    <col min="12306" max="12545" width="9.140625" style="74"/>
    <col min="12546" max="12546" width="4.140625" style="74" customWidth="1"/>
    <col min="12547" max="12547" width="15.5703125" style="74" bestFit="1" customWidth="1"/>
    <col min="12548" max="12548" width="27.140625" style="74" customWidth="1"/>
    <col min="12549" max="12549" width="18" style="74" bestFit="1" customWidth="1"/>
    <col min="12550" max="12550" width="18" style="74" customWidth="1"/>
    <col min="12551" max="12551" width="17.7109375" style="74" bestFit="1" customWidth="1"/>
    <col min="12552" max="12554" width="18.7109375" style="74" customWidth="1"/>
    <col min="12555" max="12555" width="20.5703125" style="74" customWidth="1"/>
    <col min="12556" max="12561" width="18.7109375" style="74" customWidth="1"/>
    <col min="12562" max="12801" width="9.140625" style="74"/>
    <col min="12802" max="12802" width="4.140625" style="74" customWidth="1"/>
    <col min="12803" max="12803" width="15.5703125" style="74" bestFit="1" customWidth="1"/>
    <col min="12804" max="12804" width="27.140625" style="74" customWidth="1"/>
    <col min="12805" max="12805" width="18" style="74" bestFit="1" customWidth="1"/>
    <col min="12806" max="12806" width="18" style="74" customWidth="1"/>
    <col min="12807" max="12807" width="17.7109375" style="74" bestFit="1" customWidth="1"/>
    <col min="12808" max="12810" width="18.7109375" style="74" customWidth="1"/>
    <col min="12811" max="12811" width="20.5703125" style="74" customWidth="1"/>
    <col min="12812" max="12817" width="18.7109375" style="74" customWidth="1"/>
    <col min="12818" max="13057" width="9.140625" style="74"/>
    <col min="13058" max="13058" width="4.140625" style="74" customWidth="1"/>
    <col min="13059" max="13059" width="15.5703125" style="74" bestFit="1" customWidth="1"/>
    <col min="13060" max="13060" width="27.140625" style="74" customWidth="1"/>
    <col min="13061" max="13061" width="18" style="74" bestFit="1" customWidth="1"/>
    <col min="13062" max="13062" width="18" style="74" customWidth="1"/>
    <col min="13063" max="13063" width="17.7109375" style="74" bestFit="1" customWidth="1"/>
    <col min="13064" max="13066" width="18.7109375" style="74" customWidth="1"/>
    <col min="13067" max="13067" width="20.5703125" style="74" customWidth="1"/>
    <col min="13068" max="13073" width="18.7109375" style="74" customWidth="1"/>
    <col min="13074" max="13313" width="9.140625" style="74"/>
    <col min="13314" max="13314" width="4.140625" style="74" customWidth="1"/>
    <col min="13315" max="13315" width="15.5703125" style="74" bestFit="1" customWidth="1"/>
    <col min="13316" max="13316" width="27.140625" style="74" customWidth="1"/>
    <col min="13317" max="13317" width="18" style="74" bestFit="1" customWidth="1"/>
    <col min="13318" max="13318" width="18" style="74" customWidth="1"/>
    <col min="13319" max="13319" width="17.7109375" style="74" bestFit="1" customWidth="1"/>
    <col min="13320" max="13322" width="18.7109375" style="74" customWidth="1"/>
    <col min="13323" max="13323" width="20.5703125" style="74" customWidth="1"/>
    <col min="13324" max="13329" width="18.7109375" style="74" customWidth="1"/>
    <col min="13330" max="13569" width="9.140625" style="74"/>
    <col min="13570" max="13570" width="4.140625" style="74" customWidth="1"/>
    <col min="13571" max="13571" width="15.5703125" style="74" bestFit="1" customWidth="1"/>
    <col min="13572" max="13572" width="27.140625" style="74" customWidth="1"/>
    <col min="13573" max="13573" width="18" style="74" bestFit="1" customWidth="1"/>
    <col min="13574" max="13574" width="18" style="74" customWidth="1"/>
    <col min="13575" max="13575" width="17.7109375" style="74" bestFit="1" customWidth="1"/>
    <col min="13576" max="13578" width="18.7109375" style="74" customWidth="1"/>
    <col min="13579" max="13579" width="20.5703125" style="74" customWidth="1"/>
    <col min="13580" max="13585" width="18.7109375" style="74" customWidth="1"/>
    <col min="13586" max="13825" width="9.140625" style="74"/>
    <col min="13826" max="13826" width="4.140625" style="74" customWidth="1"/>
    <col min="13827" max="13827" width="15.5703125" style="74" bestFit="1" customWidth="1"/>
    <col min="13828" max="13828" width="27.140625" style="74" customWidth="1"/>
    <col min="13829" max="13829" width="18" style="74" bestFit="1" customWidth="1"/>
    <col min="13830" max="13830" width="18" style="74" customWidth="1"/>
    <col min="13831" max="13831" width="17.7109375" style="74" bestFit="1" customWidth="1"/>
    <col min="13832" max="13834" width="18.7109375" style="74" customWidth="1"/>
    <col min="13835" max="13835" width="20.5703125" style="74" customWidth="1"/>
    <col min="13836" max="13841" width="18.7109375" style="74" customWidth="1"/>
    <col min="13842" max="14081" width="9.140625" style="74"/>
    <col min="14082" max="14082" width="4.140625" style="74" customWidth="1"/>
    <col min="14083" max="14083" width="15.5703125" style="74" bestFit="1" customWidth="1"/>
    <col min="14084" max="14084" width="27.140625" style="74" customWidth="1"/>
    <col min="14085" max="14085" width="18" style="74" bestFit="1" customWidth="1"/>
    <col min="14086" max="14086" width="18" style="74" customWidth="1"/>
    <col min="14087" max="14087" width="17.7109375" style="74" bestFit="1" customWidth="1"/>
    <col min="14088" max="14090" width="18.7109375" style="74" customWidth="1"/>
    <col min="14091" max="14091" width="20.5703125" style="74" customWidth="1"/>
    <col min="14092" max="14097" width="18.7109375" style="74" customWidth="1"/>
    <col min="14098" max="14337" width="9.140625" style="74"/>
    <col min="14338" max="14338" width="4.140625" style="74" customWidth="1"/>
    <col min="14339" max="14339" width="15.5703125" style="74" bestFit="1" customWidth="1"/>
    <col min="14340" max="14340" width="27.140625" style="74" customWidth="1"/>
    <col min="14341" max="14341" width="18" style="74" bestFit="1" customWidth="1"/>
    <col min="14342" max="14342" width="18" style="74" customWidth="1"/>
    <col min="14343" max="14343" width="17.7109375" style="74" bestFit="1" customWidth="1"/>
    <col min="14344" max="14346" width="18.7109375" style="74" customWidth="1"/>
    <col min="14347" max="14347" width="20.5703125" style="74" customWidth="1"/>
    <col min="14348" max="14353" width="18.7109375" style="74" customWidth="1"/>
    <col min="14354" max="14593" width="9.140625" style="74"/>
    <col min="14594" max="14594" width="4.140625" style="74" customWidth="1"/>
    <col min="14595" max="14595" width="15.5703125" style="74" bestFit="1" customWidth="1"/>
    <col min="14596" max="14596" width="27.140625" style="74" customWidth="1"/>
    <col min="14597" max="14597" width="18" style="74" bestFit="1" customWidth="1"/>
    <col min="14598" max="14598" width="18" style="74" customWidth="1"/>
    <col min="14599" max="14599" width="17.7109375" style="74" bestFit="1" customWidth="1"/>
    <col min="14600" max="14602" width="18.7109375" style="74" customWidth="1"/>
    <col min="14603" max="14603" width="20.5703125" style="74" customWidth="1"/>
    <col min="14604" max="14609" width="18.7109375" style="74" customWidth="1"/>
    <col min="14610" max="14849" width="9.140625" style="74"/>
    <col min="14850" max="14850" width="4.140625" style="74" customWidth="1"/>
    <col min="14851" max="14851" width="15.5703125" style="74" bestFit="1" customWidth="1"/>
    <col min="14852" max="14852" width="27.140625" style="74" customWidth="1"/>
    <col min="14853" max="14853" width="18" style="74" bestFit="1" customWidth="1"/>
    <col min="14854" max="14854" width="18" style="74" customWidth="1"/>
    <col min="14855" max="14855" width="17.7109375" style="74" bestFit="1" customWidth="1"/>
    <col min="14856" max="14858" width="18.7109375" style="74" customWidth="1"/>
    <col min="14859" max="14859" width="20.5703125" style="74" customWidth="1"/>
    <col min="14860" max="14865" width="18.7109375" style="74" customWidth="1"/>
    <col min="14866" max="15105" width="9.140625" style="74"/>
    <col min="15106" max="15106" width="4.140625" style="74" customWidth="1"/>
    <col min="15107" max="15107" width="15.5703125" style="74" bestFit="1" customWidth="1"/>
    <col min="15108" max="15108" width="27.140625" style="74" customWidth="1"/>
    <col min="15109" max="15109" width="18" style="74" bestFit="1" customWidth="1"/>
    <col min="15110" max="15110" width="18" style="74" customWidth="1"/>
    <col min="15111" max="15111" width="17.7109375" style="74" bestFit="1" customWidth="1"/>
    <col min="15112" max="15114" width="18.7109375" style="74" customWidth="1"/>
    <col min="15115" max="15115" width="20.5703125" style="74" customWidth="1"/>
    <col min="15116" max="15121" width="18.7109375" style="74" customWidth="1"/>
    <col min="15122" max="15361" width="9.140625" style="74"/>
    <col min="15362" max="15362" width="4.140625" style="74" customWidth="1"/>
    <col min="15363" max="15363" width="15.5703125" style="74" bestFit="1" customWidth="1"/>
    <col min="15364" max="15364" width="27.140625" style="74" customWidth="1"/>
    <col min="15365" max="15365" width="18" style="74" bestFit="1" customWidth="1"/>
    <col min="15366" max="15366" width="18" style="74" customWidth="1"/>
    <col min="15367" max="15367" width="17.7109375" style="74" bestFit="1" customWidth="1"/>
    <col min="15368" max="15370" width="18.7109375" style="74" customWidth="1"/>
    <col min="15371" max="15371" width="20.5703125" style="74" customWidth="1"/>
    <col min="15372" max="15377" width="18.7109375" style="74" customWidth="1"/>
    <col min="15378" max="15617" width="9.140625" style="74"/>
    <col min="15618" max="15618" width="4.140625" style="74" customWidth="1"/>
    <col min="15619" max="15619" width="15.5703125" style="74" bestFit="1" customWidth="1"/>
    <col min="15620" max="15620" width="27.140625" style="74" customWidth="1"/>
    <col min="15621" max="15621" width="18" style="74" bestFit="1" customWidth="1"/>
    <col min="15622" max="15622" width="18" style="74" customWidth="1"/>
    <col min="15623" max="15623" width="17.7109375" style="74" bestFit="1" customWidth="1"/>
    <col min="15624" max="15626" width="18.7109375" style="74" customWidth="1"/>
    <col min="15627" max="15627" width="20.5703125" style="74" customWidth="1"/>
    <col min="15628" max="15633" width="18.7109375" style="74" customWidth="1"/>
    <col min="15634" max="15873" width="9.140625" style="74"/>
    <col min="15874" max="15874" width="4.140625" style="74" customWidth="1"/>
    <col min="15875" max="15875" width="15.5703125" style="74" bestFit="1" customWidth="1"/>
    <col min="15876" max="15876" width="27.140625" style="74" customWidth="1"/>
    <col min="15877" max="15877" width="18" style="74" bestFit="1" customWidth="1"/>
    <col min="15878" max="15878" width="18" style="74" customWidth="1"/>
    <col min="15879" max="15879" width="17.7109375" style="74" bestFit="1" customWidth="1"/>
    <col min="15880" max="15882" width="18.7109375" style="74" customWidth="1"/>
    <col min="15883" max="15883" width="20.5703125" style="74" customWidth="1"/>
    <col min="15884" max="15889" width="18.7109375" style="74" customWidth="1"/>
    <col min="15890" max="16129" width="9.140625" style="74"/>
    <col min="16130" max="16130" width="4.140625" style="74" customWidth="1"/>
    <col min="16131" max="16131" width="15.5703125" style="74" bestFit="1" customWidth="1"/>
    <col min="16132" max="16132" width="27.140625" style="74" customWidth="1"/>
    <col min="16133" max="16133" width="18" style="74" bestFit="1" customWidth="1"/>
    <col min="16134" max="16134" width="18" style="74" customWidth="1"/>
    <col min="16135" max="16135" width="17.7109375" style="74" bestFit="1" customWidth="1"/>
    <col min="16136" max="16138" width="18.7109375" style="74" customWidth="1"/>
    <col min="16139" max="16139" width="20.5703125" style="74" customWidth="1"/>
    <col min="16140" max="16145" width="18.7109375" style="74" customWidth="1"/>
    <col min="16146" max="16384" width="9.140625" style="74"/>
  </cols>
  <sheetData>
    <row r="1" spans="3:16">
      <c r="C1" s="137"/>
    </row>
    <row r="2" spans="3:16">
      <c r="C2" s="138"/>
      <c r="E2" s="138"/>
      <c r="F2" s="138"/>
      <c r="G2" s="742" t="s">
        <v>906</v>
      </c>
      <c r="H2" s="257"/>
      <c r="I2" s="257"/>
      <c r="J2" s="257"/>
      <c r="K2" s="257"/>
      <c r="L2" s="257"/>
      <c r="M2" s="257"/>
      <c r="N2" s="257"/>
      <c r="O2" s="257"/>
      <c r="P2" s="257"/>
    </row>
    <row r="3" spans="3:16">
      <c r="E3" s="138"/>
      <c r="F3" s="138"/>
      <c r="G3" s="373" t="s">
        <v>725</v>
      </c>
      <c r="H3" s="257"/>
      <c r="I3" s="257"/>
      <c r="J3" s="257"/>
      <c r="K3" s="257"/>
      <c r="L3" s="257"/>
      <c r="M3" s="257"/>
      <c r="N3" s="257"/>
      <c r="O3" s="257"/>
      <c r="P3" s="257"/>
    </row>
    <row r="4" spans="3:16">
      <c r="C4" s="138"/>
      <c r="E4" s="138"/>
      <c r="F4" s="138"/>
      <c r="G4" s="277" t="s">
        <v>508</v>
      </c>
      <c r="H4" s="257"/>
      <c r="I4" s="257"/>
      <c r="J4" s="257"/>
      <c r="K4" s="257"/>
      <c r="L4" s="257"/>
      <c r="M4" s="257"/>
      <c r="N4" s="257"/>
      <c r="O4" s="257"/>
      <c r="P4" s="257"/>
    </row>
    <row r="5" spans="3:16">
      <c r="D5" s="258"/>
      <c r="E5" s="258"/>
      <c r="F5" s="258"/>
    </row>
    <row r="6" spans="3:16">
      <c r="D6" s="258"/>
      <c r="E6" s="258"/>
      <c r="F6" s="258"/>
    </row>
    <row r="7" spans="3:16">
      <c r="D7" s="258"/>
      <c r="E7" s="258"/>
      <c r="F7" s="258"/>
    </row>
    <row r="8" spans="3:16">
      <c r="D8" s="137" t="s">
        <v>364</v>
      </c>
      <c r="E8" s="258"/>
      <c r="F8" s="258"/>
    </row>
    <row r="9" spans="3:16">
      <c r="D9" s="258"/>
      <c r="E9" s="258"/>
      <c r="F9" s="258"/>
    </row>
    <row r="10" spans="3:16">
      <c r="H10" s="54" t="s">
        <v>337</v>
      </c>
    </row>
    <row r="11" spans="3:16" ht="14.45" customHeight="1">
      <c r="D11" s="1527" t="s">
        <v>252</v>
      </c>
      <c r="E11" s="1380" t="s">
        <v>148</v>
      </c>
      <c r="F11" s="1382"/>
      <c r="G11" s="1380" t="s">
        <v>149</v>
      </c>
      <c r="H11" s="1382"/>
    </row>
    <row r="12" spans="3:16" ht="30">
      <c r="D12" s="1528"/>
      <c r="E12" s="376" t="s">
        <v>699</v>
      </c>
      <c r="F12" s="376" t="s">
        <v>689</v>
      </c>
      <c r="G12" s="376" t="s">
        <v>699</v>
      </c>
      <c r="H12" s="376" t="s">
        <v>689</v>
      </c>
    </row>
    <row r="13" spans="3:16" ht="16.5">
      <c r="D13" s="132" t="s">
        <v>267</v>
      </c>
      <c r="E13" s="259"/>
      <c r="F13" s="259"/>
      <c r="G13" s="259"/>
      <c r="H13" s="259"/>
    </row>
    <row r="14" spans="3:16" ht="16.5">
      <c r="D14" s="148" t="s">
        <v>776</v>
      </c>
      <c r="E14" s="1019">
        <v>0.99</v>
      </c>
      <c r="F14" s="1020">
        <f ca="1">+J30</f>
        <v>0.95335574289296632</v>
      </c>
      <c r="G14" s="1019">
        <v>1</v>
      </c>
      <c r="H14" s="1020">
        <f>+J47</f>
        <v>0.9949538294778697</v>
      </c>
    </row>
    <row r="15" spans="3:16" ht="16.5">
      <c r="D15" s="148" t="s">
        <v>785</v>
      </c>
      <c r="E15" s="1019">
        <v>1.1499999999999999</v>
      </c>
      <c r="F15" s="1020">
        <f ca="1">+J31</f>
        <v>0.95800791574344824</v>
      </c>
      <c r="G15" s="1019">
        <v>0</v>
      </c>
      <c r="H15" s="1020">
        <f>+J48</f>
        <v>1.0009320733117562</v>
      </c>
    </row>
    <row r="16" spans="3:16" ht="16.5">
      <c r="D16" s="67"/>
      <c r="E16" s="1019"/>
      <c r="F16" s="261"/>
      <c r="G16" s="1019"/>
      <c r="H16" s="261"/>
    </row>
    <row r="17" spans="3:12" ht="16.5">
      <c r="D17" s="132" t="s">
        <v>270</v>
      </c>
      <c r="E17" s="1019"/>
      <c r="F17" s="259"/>
      <c r="G17" s="1019"/>
      <c r="H17" s="259"/>
    </row>
    <row r="18" spans="3:12" ht="16.5">
      <c r="D18" s="148" t="s">
        <v>787</v>
      </c>
      <c r="E18" s="1019">
        <v>1</v>
      </c>
      <c r="F18" s="1020">
        <f t="shared" ref="F18:F22" ca="1" si="0">+J34</f>
        <v>0</v>
      </c>
      <c r="G18" s="1019">
        <v>1</v>
      </c>
      <c r="H18" s="1020">
        <f t="shared" ref="H18:H22" si="1">+J51</f>
        <v>0</v>
      </c>
    </row>
    <row r="19" spans="3:12" ht="16.5">
      <c r="D19" s="148" t="s">
        <v>777</v>
      </c>
      <c r="E19" s="1019">
        <v>1.02</v>
      </c>
      <c r="F19" s="1020">
        <f t="shared" ca="1" si="0"/>
        <v>0.95765050122299744</v>
      </c>
      <c r="G19" s="1019">
        <v>1.02</v>
      </c>
      <c r="H19" s="1020">
        <f t="shared" si="1"/>
        <v>1.0044842885216656</v>
      </c>
    </row>
    <row r="20" spans="3:12" ht="16.5">
      <c r="D20" s="148" t="s">
        <v>778</v>
      </c>
      <c r="E20" s="1019">
        <v>1.3</v>
      </c>
      <c r="F20" s="1020">
        <f t="shared" ca="1" si="0"/>
        <v>1.2281502577022845</v>
      </c>
      <c r="G20" s="1019">
        <v>1.3</v>
      </c>
      <c r="H20" s="1020">
        <f t="shared" si="1"/>
        <v>1.2509046039492093</v>
      </c>
    </row>
    <row r="21" spans="3:12" ht="16.5">
      <c r="D21" s="148" t="s">
        <v>779</v>
      </c>
      <c r="E21" s="1019">
        <v>1</v>
      </c>
      <c r="F21" s="1020">
        <f t="shared" ca="1" si="0"/>
        <v>0.95790033304196132</v>
      </c>
      <c r="G21" s="1019">
        <v>1</v>
      </c>
      <c r="H21" s="1020">
        <f t="shared" si="1"/>
        <v>1.0009182016088252</v>
      </c>
    </row>
    <row r="22" spans="3:12" ht="16.5">
      <c r="D22" s="148" t="s">
        <v>780</v>
      </c>
      <c r="E22" s="1019">
        <v>1.04</v>
      </c>
      <c r="F22" s="1020">
        <f t="shared" ca="1" si="0"/>
        <v>1.0047777291770765</v>
      </c>
      <c r="G22" s="1019">
        <v>1.03</v>
      </c>
      <c r="H22" s="1020">
        <f t="shared" si="1"/>
        <v>1.0417873928507668</v>
      </c>
    </row>
    <row r="23" spans="3:12" ht="16.5">
      <c r="D23" s="262" t="s">
        <v>605</v>
      </c>
      <c r="E23" s="299"/>
      <c r="F23" s="264"/>
      <c r="G23" s="264"/>
      <c r="H23" s="264"/>
      <c r="I23" s="264"/>
    </row>
    <row r="24" spans="3:12" ht="16.5">
      <c r="D24" s="262"/>
      <c r="E24" s="299"/>
      <c r="F24" s="264"/>
      <c r="G24" s="264"/>
      <c r="H24" s="264"/>
      <c r="I24" s="264"/>
    </row>
    <row r="26" spans="3:12">
      <c r="C26" s="54" t="s">
        <v>148</v>
      </c>
    </row>
    <row r="27" spans="3:12" ht="30" customHeight="1">
      <c r="C27" s="1526" t="s">
        <v>252</v>
      </c>
      <c r="D27" s="1522" t="s">
        <v>391</v>
      </c>
      <c r="E27" s="1522" t="s">
        <v>380</v>
      </c>
      <c r="F27" s="1522"/>
      <c r="G27" s="1522"/>
      <c r="H27" s="1522" t="s">
        <v>392</v>
      </c>
      <c r="I27" s="1522"/>
      <c r="J27" s="1522"/>
      <c r="K27" s="1522" t="s">
        <v>393</v>
      </c>
      <c r="L27" s="1522" t="s">
        <v>394</v>
      </c>
    </row>
    <row r="28" spans="3:12" ht="30">
      <c r="C28" s="1526"/>
      <c r="D28" s="1522"/>
      <c r="E28" s="256" t="s">
        <v>1208</v>
      </c>
      <c r="F28" s="256" t="s">
        <v>1200</v>
      </c>
      <c r="G28" s="256" t="s">
        <v>395</v>
      </c>
      <c r="H28" s="1066" t="s">
        <v>1208</v>
      </c>
      <c r="I28" s="256" t="s">
        <v>1200</v>
      </c>
      <c r="J28" s="256" t="s">
        <v>395</v>
      </c>
      <c r="K28" s="1522"/>
      <c r="L28" s="1522"/>
    </row>
    <row r="29" spans="3:12" ht="16.5">
      <c r="C29" s="132" t="s">
        <v>267</v>
      </c>
      <c r="D29" s="1523">
        <f ca="1">+'F14.1'!X48</f>
        <v>6.6840987379230112</v>
      </c>
      <c r="E29" s="259"/>
      <c r="F29" s="259"/>
      <c r="G29" s="259"/>
      <c r="H29" s="259"/>
      <c r="I29" s="259"/>
      <c r="J29" s="259"/>
      <c r="K29" s="260"/>
      <c r="L29" s="260"/>
    </row>
    <row r="30" spans="3:12" ht="16.5">
      <c r="C30" s="148" t="s">
        <v>776</v>
      </c>
      <c r="D30" s="1524"/>
      <c r="E30" s="1018">
        <f>+'F13.2'!X14</f>
        <v>5.6348041058660083</v>
      </c>
      <c r="F30" s="1018">
        <v>5.52</v>
      </c>
      <c r="G30" s="1018">
        <f ca="1">+'F14.1'!X14</f>
        <v>6.3723239178625306</v>
      </c>
      <c r="H30" s="1019">
        <f ca="1">+E30/$D$29</f>
        <v>0.8430162878798142</v>
      </c>
      <c r="I30" s="1019">
        <v>1</v>
      </c>
      <c r="J30" s="1019">
        <f ca="1">+G30/$D$29</f>
        <v>0.95335574289296632</v>
      </c>
      <c r="K30" s="1019">
        <f ca="1">+J30-H30</f>
        <v>0.11033945501315212</v>
      </c>
      <c r="L30" s="1019">
        <f ca="1">+G30/E30-1</f>
        <v>0.13088650432918181</v>
      </c>
    </row>
    <row r="31" spans="3:12" ht="16.5">
      <c r="C31" s="148" t="s">
        <v>785</v>
      </c>
      <c r="D31" s="1524"/>
      <c r="E31" s="1018">
        <f>+'F13.2'!X20</f>
        <v>5.572874881333453</v>
      </c>
      <c r="F31" s="1018">
        <v>5.8</v>
      </c>
      <c r="G31" s="1018">
        <f ca="1">+'F14.1'!X20</f>
        <v>6.4034195005410366</v>
      </c>
      <c r="H31" s="1019">
        <f ca="1">+E31/$D$29</f>
        <v>0.83375113083161079</v>
      </c>
      <c r="I31" s="1019">
        <v>1.05</v>
      </c>
      <c r="J31" s="1019">
        <f t="shared" ref="J31" ca="1" si="2">+G31/$D$29</f>
        <v>0.95800791574344824</v>
      </c>
      <c r="K31" s="1019">
        <f ca="1">+J31-H31</f>
        <v>0.12425678491183745</v>
      </c>
      <c r="L31" s="1019">
        <f ca="1">+G31/E31-1</f>
        <v>0.14903342294468569</v>
      </c>
    </row>
    <row r="32" spans="3:12" ht="16.5">
      <c r="C32" s="67"/>
      <c r="D32" s="1524"/>
      <c r="E32" s="1018"/>
      <c r="F32" s="1018"/>
      <c r="G32" s="1018"/>
      <c r="H32" s="1019"/>
      <c r="I32" s="1019"/>
      <c r="J32" s="1019"/>
      <c r="K32" s="1019"/>
      <c r="L32" s="1019"/>
    </row>
    <row r="33" spans="3:12" ht="16.5">
      <c r="C33" s="132" t="s">
        <v>270</v>
      </c>
      <c r="D33" s="1524"/>
      <c r="E33" s="1018"/>
      <c r="F33" s="1018"/>
      <c r="G33" s="1018"/>
      <c r="H33" s="1019"/>
      <c r="I33" s="1019"/>
      <c r="J33" s="1019"/>
      <c r="K33" s="1019"/>
      <c r="L33" s="1019"/>
    </row>
    <row r="34" spans="3:12" ht="16.5">
      <c r="C34" s="148" t="s">
        <v>787</v>
      </c>
      <c r="D34" s="1524"/>
      <c r="E34" s="1018">
        <f>+'F13.2'!X29</f>
        <v>0</v>
      </c>
      <c r="F34" s="1018">
        <v>5.52</v>
      </c>
      <c r="G34" s="1018">
        <f>+'F14.1'!X29</f>
        <v>0</v>
      </c>
      <c r="H34" s="1019">
        <f ca="1">+E34/$D$29</f>
        <v>0</v>
      </c>
      <c r="I34" s="1019">
        <v>1</v>
      </c>
      <c r="J34" s="1019">
        <f t="shared" ref="J34:J38" ca="1" si="3">+G34/$D$29</f>
        <v>0</v>
      </c>
      <c r="K34" s="1019">
        <f t="shared" ref="K34:K38" ca="1" si="4">+J34-H34</f>
        <v>0</v>
      </c>
      <c r="L34" s="1019">
        <v>0</v>
      </c>
    </row>
    <row r="35" spans="3:12" ht="16.5">
      <c r="C35" s="148" t="s">
        <v>777</v>
      </c>
      <c r="D35" s="1524"/>
      <c r="E35" s="1018">
        <f>+'F13.2'!X30</f>
        <v>5.6143419207547964</v>
      </c>
      <c r="F35" s="1018">
        <v>5.62</v>
      </c>
      <c r="G35" s="1018">
        <f ca="1">+'F14.1'!X30</f>
        <v>6.4010305065959763</v>
      </c>
      <c r="H35" s="1019">
        <f ca="1">+E35/$D$29</f>
        <v>0.83995496489319865</v>
      </c>
      <c r="I35" s="1019">
        <v>1.01</v>
      </c>
      <c r="J35" s="1019">
        <f t="shared" ca="1" si="3"/>
        <v>0.95765050122299744</v>
      </c>
      <c r="K35" s="1019">
        <f t="shared" ca="1" si="4"/>
        <v>0.11769553632979879</v>
      </c>
      <c r="L35" s="1019">
        <f t="shared" ref="L35:L38" ca="1" si="5">+G35/E35-1</f>
        <v>0.14012124607747745</v>
      </c>
    </row>
    <row r="36" spans="3:12" ht="16.5">
      <c r="C36" s="148" t="s">
        <v>778</v>
      </c>
      <c r="D36" s="1524"/>
      <c r="E36" s="1018">
        <f>+'F13.2'!X31</f>
        <v>7.1020534607173857</v>
      </c>
      <c r="F36" s="1018">
        <v>7.22</v>
      </c>
      <c r="G36" s="1018">
        <f ca="1">+'F14.1'!X31</f>
        <v>8.2090775874876609</v>
      </c>
      <c r="H36" s="1019">
        <f ca="1">+E36/$D$29</f>
        <v>1.0625297050779725</v>
      </c>
      <c r="I36" s="1019">
        <v>1.3</v>
      </c>
      <c r="J36" s="1019">
        <f t="shared" ca="1" si="3"/>
        <v>1.2281502577022845</v>
      </c>
      <c r="K36" s="1019">
        <f t="shared" ca="1" si="4"/>
        <v>0.16562055262431197</v>
      </c>
      <c r="L36" s="1019">
        <f t="shared" ca="1" si="5"/>
        <v>0.15587380929943806</v>
      </c>
    </row>
    <row r="37" spans="3:12" ht="16.5">
      <c r="C37" s="148" t="s">
        <v>779</v>
      </c>
      <c r="D37" s="1524"/>
      <c r="E37" s="1018">
        <f>+'F13.2'!X37</f>
        <v>5.8618133322500086</v>
      </c>
      <c r="F37" s="1018">
        <v>5.53</v>
      </c>
      <c r="G37" s="1018">
        <f ca="1">+'F14.1'!X37</f>
        <v>6.4027004071418059</v>
      </c>
      <c r="H37" s="1019">
        <f ca="1">+E37/$D$29</f>
        <v>0.87697886612481191</v>
      </c>
      <c r="I37" s="1019">
        <v>1</v>
      </c>
      <c r="J37" s="1019">
        <f t="shared" ca="1" si="3"/>
        <v>0.95790033304196132</v>
      </c>
      <c r="K37" s="1019">
        <f t="shared" ca="1" si="4"/>
        <v>8.0921466917149409E-2</v>
      </c>
      <c r="L37" s="1019">
        <f t="shared" ca="1" si="5"/>
        <v>9.2272995442552297E-2</v>
      </c>
    </row>
    <row r="38" spans="3:12" ht="16.5">
      <c r="C38" s="148" t="s">
        <v>780</v>
      </c>
      <c r="D38" s="1525"/>
      <c r="E38" s="1018">
        <f>+'F13.2'!X38</f>
        <v>5.9535284160596564</v>
      </c>
      <c r="F38" s="1018">
        <v>5.73</v>
      </c>
      <c r="G38" s="1018">
        <f ca="1">+'F14.1'!X38</f>
        <v>6.716033551485646</v>
      </c>
      <c r="H38" s="1019">
        <f ca="1">+E38/$D$29</f>
        <v>0.89070024987536778</v>
      </c>
      <c r="I38" s="1019">
        <v>1.03</v>
      </c>
      <c r="J38" s="1019">
        <f t="shared" ca="1" si="3"/>
        <v>1.0047777291770765</v>
      </c>
      <c r="K38" s="1019">
        <f t="shared" ca="1" si="4"/>
        <v>0.11407747930170875</v>
      </c>
      <c r="L38" s="1019">
        <f t="shared" ca="1" si="5"/>
        <v>0.12807617300845164</v>
      </c>
    </row>
    <row r="39" spans="3:12" ht="33" customHeight="1">
      <c r="C39" s="1530" t="s">
        <v>1210</v>
      </c>
      <c r="D39" s="1531"/>
      <c r="E39" s="1531"/>
      <c r="F39" s="1531"/>
      <c r="G39" s="1531"/>
      <c r="H39" s="1531"/>
      <c r="I39" s="1531"/>
      <c r="J39" s="1531"/>
      <c r="K39" s="1531"/>
      <c r="L39" s="1531"/>
    </row>
    <row r="40" spans="3:12" ht="16.5">
      <c r="C40" s="262"/>
      <c r="D40" s="263"/>
      <c r="E40" s="264"/>
      <c r="F40" s="264"/>
      <c r="G40" s="264"/>
      <c r="H40" s="264"/>
      <c r="I40" s="264"/>
      <c r="J40" s="264"/>
      <c r="K40" s="265"/>
      <c r="L40" s="265"/>
    </row>
    <row r="41" spans="3:12" ht="16.5">
      <c r="C41" s="262"/>
      <c r="D41" s="263"/>
      <c r="E41" s="264"/>
      <c r="F41" s="264"/>
      <c r="G41" s="264"/>
      <c r="H41" s="264"/>
      <c r="I41" s="264"/>
      <c r="J41" s="264"/>
      <c r="K41" s="265"/>
      <c r="L41" s="265"/>
    </row>
    <row r="43" spans="3:12">
      <c r="C43" s="54" t="s">
        <v>149</v>
      </c>
    </row>
    <row r="44" spans="3:12" ht="33" customHeight="1">
      <c r="C44" s="1526" t="s">
        <v>252</v>
      </c>
      <c r="D44" s="1522" t="s">
        <v>391</v>
      </c>
      <c r="E44" s="1522" t="s">
        <v>380</v>
      </c>
      <c r="F44" s="1522"/>
      <c r="G44" s="1522"/>
      <c r="H44" s="1522" t="s">
        <v>392</v>
      </c>
      <c r="I44" s="1522"/>
      <c r="J44" s="1522"/>
      <c r="K44" s="1522" t="s">
        <v>393</v>
      </c>
      <c r="L44" s="1522" t="s">
        <v>394</v>
      </c>
    </row>
    <row r="45" spans="3:12" ht="30">
      <c r="C45" s="1526"/>
      <c r="D45" s="1522"/>
      <c r="E45" s="256" t="s">
        <v>1208</v>
      </c>
      <c r="F45" s="256" t="s">
        <v>1200</v>
      </c>
      <c r="G45" s="256" t="s">
        <v>395</v>
      </c>
      <c r="H45" s="1066" t="s">
        <v>1208</v>
      </c>
      <c r="I45" s="256" t="s">
        <v>1200</v>
      </c>
      <c r="J45" s="256" t="s">
        <v>395</v>
      </c>
      <c r="K45" s="1522"/>
      <c r="L45" s="1522"/>
    </row>
    <row r="46" spans="3:12" ht="16.5">
      <c r="C46" s="132" t="s">
        <v>267</v>
      </c>
      <c r="D46" s="1523">
        <f>+'F14.2'!X48</f>
        <v>7.296590095254035</v>
      </c>
      <c r="E46" s="259"/>
      <c r="F46" s="259"/>
      <c r="G46" s="259"/>
      <c r="H46" s="259"/>
      <c r="I46" s="259"/>
      <c r="J46" s="259"/>
      <c r="K46" s="260"/>
      <c r="L46" s="260"/>
    </row>
    <row r="47" spans="3:12" ht="16.5">
      <c r="C47" s="148" t="s">
        <v>776</v>
      </c>
      <c r="D47" s="1524"/>
      <c r="E47" s="1018">
        <f>+'F13.3'!X14</f>
        <v>5.6998741135439062</v>
      </c>
      <c r="F47" s="1018">
        <v>5.57</v>
      </c>
      <c r="G47" s="1018">
        <f>+'F14.2'!X14</f>
        <v>7.2597702574032965</v>
      </c>
      <c r="H47" s="1019">
        <f>+E47/$D$46</f>
        <v>0.7811695653907309</v>
      </c>
      <c r="I47" s="1019">
        <v>0.99</v>
      </c>
      <c r="J47" s="1019">
        <f>+G47/$D$46</f>
        <v>0.9949538294778697</v>
      </c>
      <c r="K47" s="1019">
        <f>+J47-H47</f>
        <v>0.2137842640871388</v>
      </c>
      <c r="L47" s="1019">
        <f>+G47/E47-1</f>
        <v>0.27367203429156484</v>
      </c>
    </row>
    <row r="48" spans="3:12" ht="16.5">
      <c r="C48" s="148" t="s">
        <v>785</v>
      </c>
      <c r="D48" s="1524"/>
      <c r="E48" s="1018">
        <f>+'F13.3'!X20</f>
        <v>5.9968748813334543</v>
      </c>
      <c r="F48" s="1018">
        <v>6.43</v>
      </c>
      <c r="G48" s="1018">
        <f>+'F14.2'!X20</f>
        <v>7.3033910521486458</v>
      </c>
      <c r="H48" s="1019">
        <f>+E48/$D$46</f>
        <v>0.82187361535274372</v>
      </c>
      <c r="I48" s="1019">
        <v>1.1499999999999999</v>
      </c>
      <c r="J48" s="1019">
        <f>+G48/$D$46</f>
        <v>1.0009320733117562</v>
      </c>
      <c r="K48" s="1019">
        <f>+J48-H48</f>
        <v>0.17905845795901243</v>
      </c>
      <c r="L48" s="1019">
        <f>+G48/E48-1</f>
        <v>0.21786617140904507</v>
      </c>
    </row>
    <row r="49" spans="3:12" ht="16.5">
      <c r="C49" s="67"/>
      <c r="D49" s="1524"/>
      <c r="E49" s="1018"/>
      <c r="F49" s="1018"/>
      <c r="G49" s="1018"/>
      <c r="H49" s="1019"/>
      <c r="I49" s="1019"/>
      <c r="J49" s="1019"/>
      <c r="K49" s="1019"/>
      <c r="L49" s="1019"/>
    </row>
    <row r="50" spans="3:12" ht="16.5">
      <c r="C50" s="132" t="s">
        <v>270</v>
      </c>
      <c r="D50" s="1524"/>
      <c r="E50" s="1018"/>
      <c r="F50" s="1018"/>
      <c r="G50" s="1018"/>
      <c r="H50" s="1019"/>
      <c r="I50" s="1019"/>
      <c r="J50" s="1019"/>
      <c r="K50" s="1019"/>
      <c r="L50" s="1019"/>
    </row>
    <row r="51" spans="3:12" ht="16.5">
      <c r="C51" s="148" t="s">
        <v>787</v>
      </c>
      <c r="D51" s="1524"/>
      <c r="E51" s="1018">
        <f>+'F13.3'!X29</f>
        <v>0</v>
      </c>
      <c r="F51" s="1018">
        <v>5.62</v>
      </c>
      <c r="G51" s="1018">
        <f>+'F14.2'!X29</f>
        <v>0</v>
      </c>
      <c r="H51" s="1019">
        <f t="shared" ref="H51:J55" si="6">+E51/$D$46</f>
        <v>0</v>
      </c>
      <c r="I51" s="1019">
        <v>1</v>
      </c>
      <c r="J51" s="1019">
        <f t="shared" si="6"/>
        <v>0</v>
      </c>
      <c r="K51" s="1019">
        <f t="shared" ref="K51:K55" si="7">+J51-H51</f>
        <v>0</v>
      </c>
      <c r="L51" s="1019">
        <v>0</v>
      </c>
    </row>
    <row r="52" spans="3:12" ht="16.5">
      <c r="C52" s="148" t="s">
        <v>777</v>
      </c>
      <c r="D52" s="1524"/>
      <c r="E52" s="1018">
        <f>+'F13.3'!X30</f>
        <v>5.6432098225295011</v>
      </c>
      <c r="F52" s="1018">
        <v>5.71</v>
      </c>
      <c r="G52" s="1018">
        <f>+'F14.2'!X30</f>
        <v>7.3293101104654816</v>
      </c>
      <c r="H52" s="1019">
        <f t="shared" si="6"/>
        <v>0.77340370623259325</v>
      </c>
      <c r="I52" s="1019">
        <v>1.02</v>
      </c>
      <c r="J52" s="1019">
        <f t="shared" si="6"/>
        <v>1.0044842885216656</v>
      </c>
      <c r="K52" s="1019">
        <f t="shared" si="7"/>
        <v>0.23108058228907236</v>
      </c>
      <c r="L52" s="1019">
        <f t="shared" ref="L52:L55" si="8">+G52/E52-1</f>
        <v>0.29878390861961712</v>
      </c>
    </row>
    <row r="53" spans="3:12" ht="16.5">
      <c r="C53" s="148" t="s">
        <v>778</v>
      </c>
      <c r="D53" s="1524"/>
      <c r="E53" s="1018">
        <f>+'F13.3'!X31</f>
        <v>7.115913067683957</v>
      </c>
      <c r="F53" s="1018">
        <v>7.29</v>
      </c>
      <c r="G53" s="1018">
        <f>+'F14.2'!X31</f>
        <v>9.1273381432834721</v>
      </c>
      <c r="H53" s="1019">
        <f t="shared" si="6"/>
        <v>0.97523815573967942</v>
      </c>
      <c r="I53" s="1019">
        <v>1.3</v>
      </c>
      <c r="J53" s="1019">
        <f t="shared" si="6"/>
        <v>1.2509046039492093</v>
      </c>
      <c r="K53" s="1019">
        <f t="shared" si="7"/>
        <v>0.2756664482095299</v>
      </c>
      <c r="L53" s="1019">
        <f t="shared" si="8"/>
        <v>0.28266577408514926</v>
      </c>
    </row>
    <row r="54" spans="3:12" ht="16.5">
      <c r="C54" s="148" t="s">
        <v>779</v>
      </c>
      <c r="D54" s="1524"/>
      <c r="E54" s="1018">
        <f>+'F13.3'!X37</f>
        <v>5.8882310220297116</v>
      </c>
      <c r="F54" s="1018">
        <v>5.62</v>
      </c>
      <c r="G54" s="1018">
        <f>+'F14.2'!X37</f>
        <v>7.3032898360184353</v>
      </c>
      <c r="H54" s="1019">
        <f t="shared" si="6"/>
        <v>0.80698393978025829</v>
      </c>
      <c r="I54" s="1019">
        <v>1</v>
      </c>
      <c r="J54" s="1019">
        <f t="shared" si="6"/>
        <v>1.0009182016088252</v>
      </c>
      <c r="K54" s="1019">
        <f t="shared" si="7"/>
        <v>0.19393426182856688</v>
      </c>
      <c r="L54" s="1019">
        <f t="shared" si="8"/>
        <v>0.24031985305850712</v>
      </c>
    </row>
    <row r="55" spans="3:12" ht="16.5">
      <c r="C55" s="148" t="s">
        <v>780</v>
      </c>
      <c r="D55" s="1525"/>
      <c r="E55" s="1018">
        <f>+'F13.3'!X38</f>
        <v>5.9781129726428208</v>
      </c>
      <c r="F55" s="1018">
        <v>5.8</v>
      </c>
      <c r="G55" s="1018">
        <f>+'F14.2'!X38</f>
        <v>7.6014955720354296</v>
      </c>
      <c r="H55" s="1019">
        <f t="shared" si="6"/>
        <v>0.81930228978207242</v>
      </c>
      <c r="I55" s="1019">
        <v>1.04</v>
      </c>
      <c r="J55" s="1019">
        <f t="shared" si="6"/>
        <v>1.0417873928507668</v>
      </c>
      <c r="K55" s="1019">
        <f t="shared" si="7"/>
        <v>0.2224851030686944</v>
      </c>
      <c r="L55" s="1019">
        <f t="shared" si="8"/>
        <v>0.27155435282363682</v>
      </c>
    </row>
    <row r="56" spans="3:12" ht="38.25" customHeight="1">
      <c r="C56" s="1529" t="s">
        <v>1209</v>
      </c>
      <c r="D56" s="1529"/>
      <c r="E56" s="1529"/>
      <c r="F56" s="1529"/>
      <c r="G56" s="1529"/>
      <c r="H56" s="1529"/>
      <c r="I56" s="1529"/>
      <c r="J56" s="1529"/>
      <c r="K56" s="1529"/>
      <c r="L56" s="1529"/>
    </row>
    <row r="168" spans="14:14">
      <c r="N168" s="74" t="e">
        <f>+SUMPRODUCT(R164:R165,S164:S165)/SUM(R164:R165)*3/4</f>
        <v>#DIV/0!</v>
      </c>
    </row>
  </sheetData>
  <mergeCells count="19">
    <mergeCell ref="C56:L56"/>
    <mergeCell ref="C39:L39"/>
    <mergeCell ref="D46:D55"/>
    <mergeCell ref="C44:C45"/>
    <mergeCell ref="D44:D45"/>
    <mergeCell ref="L44:L45"/>
    <mergeCell ref="E44:G44"/>
    <mergeCell ref="H44:J44"/>
    <mergeCell ref="K44:K45"/>
    <mergeCell ref="C27:C28"/>
    <mergeCell ref="D27:D28"/>
    <mergeCell ref="G11:H11"/>
    <mergeCell ref="E11:F11"/>
    <mergeCell ref="D11:D12"/>
    <mergeCell ref="L27:L28"/>
    <mergeCell ref="D29:D38"/>
    <mergeCell ref="E27:G27"/>
    <mergeCell ref="H27:J27"/>
    <mergeCell ref="K27:K28"/>
  </mergeCells>
  <pageMargins left="1.0236220472440944" right="0.23622047244094491" top="0.98425196850393704" bottom="0.98425196850393704" header="0.23622047244094491" footer="0.23622047244094491"/>
  <pageSetup paperSize="9" scale="45" orientation="landscape" r:id="rId1"/>
  <headerFooter alignWithMargins="0">
    <oddHeader>&amp;F</oddHeader>
  </headerFooter>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B2:R163"/>
  <sheetViews>
    <sheetView showGridLines="0" view="pageBreakPreview" topLeftCell="E25" zoomScale="93" zoomScaleNormal="70" zoomScaleSheetLayoutView="93" zoomScalePageLayoutView="110" workbookViewId="0">
      <selection activeCell="C11" sqref="C11:C12"/>
    </sheetView>
  </sheetViews>
  <sheetFormatPr defaultColWidth="9.140625" defaultRowHeight="15"/>
  <cols>
    <col min="1" max="1" width="9.140625" style="155"/>
    <col min="2" max="2" width="30.42578125" style="155" customWidth="1"/>
    <col min="3" max="3" width="16.28515625" style="155" customWidth="1"/>
    <col min="4" max="4" width="18.7109375" style="155" customWidth="1"/>
    <col min="5" max="5" width="19" style="155" customWidth="1"/>
    <col min="6" max="6" width="13.7109375" style="155" customWidth="1"/>
    <col min="7" max="7" width="13.42578125" style="155" customWidth="1"/>
    <col min="8" max="8" width="14.85546875" style="155" customWidth="1"/>
    <col min="9" max="9" width="15.7109375" style="155" customWidth="1"/>
    <col min="10" max="10" width="16.140625" style="155" customWidth="1"/>
    <col min="11" max="11" width="12.5703125" style="155" customWidth="1"/>
    <col min="12" max="12" width="14.85546875" style="155" customWidth="1"/>
    <col min="13" max="13" width="10.42578125" style="155" customWidth="1"/>
    <col min="14" max="14" width="14.42578125" style="155" customWidth="1"/>
    <col min="15" max="15" width="16.7109375" style="155" customWidth="1"/>
    <col min="16" max="16" width="17.28515625" style="155" customWidth="1"/>
    <col min="17" max="17" width="17" style="155" customWidth="1"/>
    <col min="18" max="256" width="9.140625" style="155"/>
    <col min="257" max="257" width="15.7109375" style="155" customWidth="1"/>
    <col min="258" max="258" width="30.42578125" style="155" customWidth="1"/>
    <col min="259" max="270" width="10.7109375" style="155" customWidth="1"/>
    <col min="271" max="271" width="12.5703125" style="155" customWidth="1"/>
    <col min="272" max="272" width="6.28515625" style="155" bestFit="1" customWidth="1"/>
    <col min="273" max="273" width="11.5703125" style="155" customWidth="1"/>
    <col min="274" max="512" width="9.140625" style="155"/>
    <col min="513" max="513" width="15.7109375" style="155" customWidth="1"/>
    <col min="514" max="514" width="30.42578125" style="155" customWidth="1"/>
    <col min="515" max="526" width="10.7109375" style="155" customWidth="1"/>
    <col min="527" max="527" width="12.5703125" style="155" customWidth="1"/>
    <col min="528" max="528" width="6.28515625" style="155" bestFit="1" customWidth="1"/>
    <col min="529" max="529" width="11.5703125" style="155" customWidth="1"/>
    <col min="530" max="768" width="9.140625" style="155"/>
    <col min="769" max="769" width="15.7109375" style="155" customWidth="1"/>
    <col min="770" max="770" width="30.42578125" style="155" customWidth="1"/>
    <col min="771" max="782" width="10.7109375" style="155" customWidth="1"/>
    <col min="783" max="783" width="12.5703125" style="155" customWidth="1"/>
    <col min="784" max="784" width="6.28515625" style="155" bestFit="1" customWidth="1"/>
    <col min="785" max="785" width="11.5703125" style="155" customWidth="1"/>
    <col min="786" max="1024" width="9.140625" style="155"/>
    <col min="1025" max="1025" width="15.7109375" style="155" customWidth="1"/>
    <col min="1026" max="1026" width="30.42578125" style="155" customWidth="1"/>
    <col min="1027" max="1038" width="10.7109375" style="155" customWidth="1"/>
    <col min="1039" max="1039" width="12.5703125" style="155" customWidth="1"/>
    <col min="1040" max="1040" width="6.28515625" style="155" bestFit="1" customWidth="1"/>
    <col min="1041" max="1041" width="11.5703125" style="155" customWidth="1"/>
    <col min="1042" max="1280" width="9.140625" style="155"/>
    <col min="1281" max="1281" width="15.7109375" style="155" customWidth="1"/>
    <col min="1282" max="1282" width="30.42578125" style="155" customWidth="1"/>
    <col min="1283" max="1294" width="10.7109375" style="155" customWidth="1"/>
    <col min="1295" max="1295" width="12.5703125" style="155" customWidth="1"/>
    <col min="1296" max="1296" width="6.28515625" style="155" bestFit="1" customWidth="1"/>
    <col min="1297" max="1297" width="11.5703125" style="155" customWidth="1"/>
    <col min="1298" max="1536" width="9.140625" style="155"/>
    <col min="1537" max="1537" width="15.7109375" style="155" customWidth="1"/>
    <col min="1538" max="1538" width="30.42578125" style="155" customWidth="1"/>
    <col min="1539" max="1550" width="10.7109375" style="155" customWidth="1"/>
    <col min="1551" max="1551" width="12.5703125" style="155" customWidth="1"/>
    <col min="1552" max="1552" width="6.28515625" style="155" bestFit="1" customWidth="1"/>
    <col min="1553" max="1553" width="11.5703125" style="155" customWidth="1"/>
    <col min="1554" max="1792" width="9.140625" style="155"/>
    <col min="1793" max="1793" width="15.7109375" style="155" customWidth="1"/>
    <col min="1794" max="1794" width="30.42578125" style="155" customWidth="1"/>
    <col min="1795" max="1806" width="10.7109375" style="155" customWidth="1"/>
    <col min="1807" max="1807" width="12.5703125" style="155" customWidth="1"/>
    <col min="1808" max="1808" width="6.28515625" style="155" bestFit="1" customWidth="1"/>
    <col min="1809" max="1809" width="11.5703125" style="155" customWidth="1"/>
    <col min="1810" max="2048" width="9.140625" style="155"/>
    <col min="2049" max="2049" width="15.7109375" style="155" customWidth="1"/>
    <col min="2050" max="2050" width="30.42578125" style="155" customWidth="1"/>
    <col min="2051" max="2062" width="10.7109375" style="155" customWidth="1"/>
    <col min="2063" max="2063" width="12.5703125" style="155" customWidth="1"/>
    <col min="2064" max="2064" width="6.28515625" style="155" bestFit="1" customWidth="1"/>
    <col min="2065" max="2065" width="11.5703125" style="155" customWidth="1"/>
    <col min="2066" max="2304" width="9.140625" style="155"/>
    <col min="2305" max="2305" width="15.7109375" style="155" customWidth="1"/>
    <col min="2306" max="2306" width="30.42578125" style="155" customWidth="1"/>
    <col min="2307" max="2318" width="10.7109375" style="155" customWidth="1"/>
    <col min="2319" max="2319" width="12.5703125" style="155" customWidth="1"/>
    <col min="2320" max="2320" width="6.28515625" style="155" bestFit="1" customWidth="1"/>
    <col min="2321" max="2321" width="11.5703125" style="155" customWidth="1"/>
    <col min="2322" max="2560" width="9.140625" style="155"/>
    <col min="2561" max="2561" width="15.7109375" style="155" customWidth="1"/>
    <col min="2562" max="2562" width="30.42578125" style="155" customWidth="1"/>
    <col min="2563" max="2574" width="10.7109375" style="155" customWidth="1"/>
    <col min="2575" max="2575" width="12.5703125" style="155" customWidth="1"/>
    <col min="2576" max="2576" width="6.28515625" style="155" bestFit="1" customWidth="1"/>
    <col min="2577" max="2577" width="11.5703125" style="155" customWidth="1"/>
    <col min="2578" max="2816" width="9.140625" style="155"/>
    <col min="2817" max="2817" width="15.7109375" style="155" customWidth="1"/>
    <col min="2818" max="2818" width="30.42578125" style="155" customWidth="1"/>
    <col min="2819" max="2830" width="10.7109375" style="155" customWidth="1"/>
    <col min="2831" max="2831" width="12.5703125" style="155" customWidth="1"/>
    <col min="2832" max="2832" width="6.28515625" style="155" bestFit="1" customWidth="1"/>
    <col min="2833" max="2833" width="11.5703125" style="155" customWidth="1"/>
    <col min="2834" max="3072" width="9.140625" style="155"/>
    <col min="3073" max="3073" width="15.7109375" style="155" customWidth="1"/>
    <col min="3074" max="3074" width="30.42578125" style="155" customWidth="1"/>
    <col min="3075" max="3086" width="10.7109375" style="155" customWidth="1"/>
    <col min="3087" max="3087" width="12.5703125" style="155" customWidth="1"/>
    <col min="3088" max="3088" width="6.28515625" style="155" bestFit="1" customWidth="1"/>
    <col min="3089" max="3089" width="11.5703125" style="155" customWidth="1"/>
    <col min="3090" max="3328" width="9.140625" style="155"/>
    <col min="3329" max="3329" width="15.7109375" style="155" customWidth="1"/>
    <col min="3330" max="3330" width="30.42578125" style="155" customWidth="1"/>
    <col min="3331" max="3342" width="10.7109375" style="155" customWidth="1"/>
    <col min="3343" max="3343" width="12.5703125" style="155" customWidth="1"/>
    <col min="3344" max="3344" width="6.28515625" style="155" bestFit="1" customWidth="1"/>
    <col min="3345" max="3345" width="11.5703125" style="155" customWidth="1"/>
    <col min="3346" max="3584" width="9.140625" style="155"/>
    <col min="3585" max="3585" width="15.7109375" style="155" customWidth="1"/>
    <col min="3586" max="3586" width="30.42578125" style="155" customWidth="1"/>
    <col min="3587" max="3598" width="10.7109375" style="155" customWidth="1"/>
    <col min="3599" max="3599" width="12.5703125" style="155" customWidth="1"/>
    <col min="3600" max="3600" width="6.28515625" style="155" bestFit="1" customWidth="1"/>
    <col min="3601" max="3601" width="11.5703125" style="155" customWidth="1"/>
    <col min="3602" max="3840" width="9.140625" style="155"/>
    <col min="3841" max="3841" width="15.7109375" style="155" customWidth="1"/>
    <col min="3842" max="3842" width="30.42578125" style="155" customWidth="1"/>
    <col min="3843" max="3854" width="10.7109375" style="155" customWidth="1"/>
    <col min="3855" max="3855" width="12.5703125" style="155" customWidth="1"/>
    <col min="3856" max="3856" width="6.28515625" style="155" bestFit="1" customWidth="1"/>
    <col min="3857" max="3857" width="11.5703125" style="155" customWidth="1"/>
    <col min="3858" max="4096" width="9.140625" style="155"/>
    <col min="4097" max="4097" width="15.7109375" style="155" customWidth="1"/>
    <col min="4098" max="4098" width="30.42578125" style="155" customWidth="1"/>
    <col min="4099" max="4110" width="10.7109375" style="155" customWidth="1"/>
    <col min="4111" max="4111" width="12.5703125" style="155" customWidth="1"/>
    <col min="4112" max="4112" width="6.28515625" style="155" bestFit="1" customWidth="1"/>
    <col min="4113" max="4113" width="11.5703125" style="155" customWidth="1"/>
    <col min="4114" max="4352" width="9.140625" style="155"/>
    <col min="4353" max="4353" width="15.7109375" style="155" customWidth="1"/>
    <col min="4354" max="4354" width="30.42578125" style="155" customWidth="1"/>
    <col min="4355" max="4366" width="10.7109375" style="155" customWidth="1"/>
    <col min="4367" max="4367" width="12.5703125" style="155" customWidth="1"/>
    <col min="4368" max="4368" width="6.28515625" style="155" bestFit="1" customWidth="1"/>
    <col min="4369" max="4369" width="11.5703125" style="155" customWidth="1"/>
    <col min="4370" max="4608" width="9.140625" style="155"/>
    <col min="4609" max="4609" width="15.7109375" style="155" customWidth="1"/>
    <col min="4610" max="4610" width="30.42578125" style="155" customWidth="1"/>
    <col min="4611" max="4622" width="10.7109375" style="155" customWidth="1"/>
    <col min="4623" max="4623" width="12.5703125" style="155" customWidth="1"/>
    <col min="4624" max="4624" width="6.28515625" style="155" bestFit="1" customWidth="1"/>
    <col min="4625" max="4625" width="11.5703125" style="155" customWidth="1"/>
    <col min="4626" max="4864" width="9.140625" style="155"/>
    <col min="4865" max="4865" width="15.7109375" style="155" customWidth="1"/>
    <col min="4866" max="4866" width="30.42578125" style="155" customWidth="1"/>
    <col min="4867" max="4878" width="10.7109375" style="155" customWidth="1"/>
    <col min="4879" max="4879" width="12.5703125" style="155" customWidth="1"/>
    <col min="4880" max="4880" width="6.28515625" style="155" bestFit="1" customWidth="1"/>
    <col min="4881" max="4881" width="11.5703125" style="155" customWidth="1"/>
    <col min="4882" max="5120" width="9.140625" style="155"/>
    <col min="5121" max="5121" width="15.7109375" style="155" customWidth="1"/>
    <col min="5122" max="5122" width="30.42578125" style="155" customWidth="1"/>
    <col min="5123" max="5134" width="10.7109375" style="155" customWidth="1"/>
    <col min="5135" max="5135" width="12.5703125" style="155" customWidth="1"/>
    <col min="5136" max="5136" width="6.28515625" style="155" bestFit="1" customWidth="1"/>
    <col min="5137" max="5137" width="11.5703125" style="155" customWidth="1"/>
    <col min="5138" max="5376" width="9.140625" style="155"/>
    <col min="5377" max="5377" width="15.7109375" style="155" customWidth="1"/>
    <col min="5378" max="5378" width="30.42578125" style="155" customWidth="1"/>
    <col min="5379" max="5390" width="10.7109375" style="155" customWidth="1"/>
    <col min="5391" max="5391" width="12.5703125" style="155" customWidth="1"/>
    <col min="5392" max="5392" width="6.28515625" style="155" bestFit="1" customWidth="1"/>
    <col min="5393" max="5393" width="11.5703125" style="155" customWidth="1"/>
    <col min="5394" max="5632" width="9.140625" style="155"/>
    <col min="5633" max="5633" width="15.7109375" style="155" customWidth="1"/>
    <col min="5634" max="5634" width="30.42578125" style="155" customWidth="1"/>
    <col min="5635" max="5646" width="10.7109375" style="155" customWidth="1"/>
    <col min="5647" max="5647" width="12.5703125" style="155" customWidth="1"/>
    <col min="5648" max="5648" width="6.28515625" style="155" bestFit="1" customWidth="1"/>
    <col min="5649" max="5649" width="11.5703125" style="155" customWidth="1"/>
    <col min="5650" max="5888" width="9.140625" style="155"/>
    <col min="5889" max="5889" width="15.7109375" style="155" customWidth="1"/>
    <col min="5890" max="5890" width="30.42578125" style="155" customWidth="1"/>
    <col min="5891" max="5902" width="10.7109375" style="155" customWidth="1"/>
    <col min="5903" max="5903" width="12.5703125" style="155" customWidth="1"/>
    <col min="5904" max="5904" width="6.28515625" style="155" bestFit="1" customWidth="1"/>
    <col min="5905" max="5905" width="11.5703125" style="155" customWidth="1"/>
    <col min="5906" max="6144" width="9.140625" style="155"/>
    <col min="6145" max="6145" width="15.7109375" style="155" customWidth="1"/>
    <col min="6146" max="6146" width="30.42578125" style="155" customWidth="1"/>
    <col min="6147" max="6158" width="10.7109375" style="155" customWidth="1"/>
    <col min="6159" max="6159" width="12.5703125" style="155" customWidth="1"/>
    <col min="6160" max="6160" width="6.28515625" style="155" bestFit="1" customWidth="1"/>
    <col min="6161" max="6161" width="11.5703125" style="155" customWidth="1"/>
    <col min="6162" max="6400" width="9.140625" style="155"/>
    <col min="6401" max="6401" width="15.7109375" style="155" customWidth="1"/>
    <col min="6402" max="6402" width="30.42578125" style="155" customWidth="1"/>
    <col min="6403" max="6414" width="10.7109375" style="155" customWidth="1"/>
    <col min="6415" max="6415" width="12.5703125" style="155" customWidth="1"/>
    <col min="6416" max="6416" width="6.28515625" style="155" bestFit="1" customWidth="1"/>
    <col min="6417" max="6417" width="11.5703125" style="155" customWidth="1"/>
    <col min="6418" max="6656" width="9.140625" style="155"/>
    <col min="6657" max="6657" width="15.7109375" style="155" customWidth="1"/>
    <col min="6658" max="6658" width="30.42578125" style="155" customWidth="1"/>
    <col min="6659" max="6670" width="10.7109375" style="155" customWidth="1"/>
    <col min="6671" max="6671" width="12.5703125" style="155" customWidth="1"/>
    <col min="6672" max="6672" width="6.28515625" style="155" bestFit="1" customWidth="1"/>
    <col min="6673" max="6673" width="11.5703125" style="155" customWidth="1"/>
    <col min="6674" max="6912" width="9.140625" style="155"/>
    <col min="6913" max="6913" width="15.7109375" style="155" customWidth="1"/>
    <col min="6914" max="6914" width="30.42578125" style="155" customWidth="1"/>
    <col min="6915" max="6926" width="10.7109375" style="155" customWidth="1"/>
    <col min="6927" max="6927" width="12.5703125" style="155" customWidth="1"/>
    <col min="6928" max="6928" width="6.28515625" style="155" bestFit="1" customWidth="1"/>
    <col min="6929" max="6929" width="11.5703125" style="155" customWidth="1"/>
    <col min="6930" max="7168" width="9.140625" style="155"/>
    <col min="7169" max="7169" width="15.7109375" style="155" customWidth="1"/>
    <col min="7170" max="7170" width="30.42578125" style="155" customWidth="1"/>
    <col min="7171" max="7182" width="10.7109375" style="155" customWidth="1"/>
    <col min="7183" max="7183" width="12.5703125" style="155" customWidth="1"/>
    <col min="7184" max="7184" width="6.28515625" style="155" bestFit="1" customWidth="1"/>
    <col min="7185" max="7185" width="11.5703125" style="155" customWidth="1"/>
    <col min="7186" max="7424" width="9.140625" style="155"/>
    <col min="7425" max="7425" width="15.7109375" style="155" customWidth="1"/>
    <col min="7426" max="7426" width="30.42578125" style="155" customWidth="1"/>
    <col min="7427" max="7438" width="10.7109375" style="155" customWidth="1"/>
    <col min="7439" max="7439" width="12.5703125" style="155" customWidth="1"/>
    <col min="7440" max="7440" width="6.28515625" style="155" bestFit="1" customWidth="1"/>
    <col min="7441" max="7441" width="11.5703125" style="155" customWidth="1"/>
    <col min="7442" max="7680" width="9.140625" style="155"/>
    <col min="7681" max="7681" width="15.7109375" style="155" customWidth="1"/>
    <col min="7682" max="7682" width="30.42578125" style="155" customWidth="1"/>
    <col min="7683" max="7694" width="10.7109375" style="155" customWidth="1"/>
    <col min="7695" max="7695" width="12.5703125" style="155" customWidth="1"/>
    <col min="7696" max="7696" width="6.28515625" style="155" bestFit="1" customWidth="1"/>
    <col min="7697" max="7697" width="11.5703125" style="155" customWidth="1"/>
    <col min="7698" max="7936" width="9.140625" style="155"/>
    <col min="7937" max="7937" width="15.7109375" style="155" customWidth="1"/>
    <col min="7938" max="7938" width="30.42578125" style="155" customWidth="1"/>
    <col min="7939" max="7950" width="10.7109375" style="155" customWidth="1"/>
    <col min="7951" max="7951" width="12.5703125" style="155" customWidth="1"/>
    <col min="7952" max="7952" width="6.28515625" style="155" bestFit="1" customWidth="1"/>
    <col min="7953" max="7953" width="11.5703125" style="155" customWidth="1"/>
    <col min="7954" max="8192" width="9.140625" style="155"/>
    <col min="8193" max="8193" width="15.7109375" style="155" customWidth="1"/>
    <col min="8194" max="8194" width="30.42578125" style="155" customWidth="1"/>
    <col min="8195" max="8206" width="10.7109375" style="155" customWidth="1"/>
    <col min="8207" max="8207" width="12.5703125" style="155" customWidth="1"/>
    <col min="8208" max="8208" width="6.28515625" style="155" bestFit="1" customWidth="1"/>
    <col min="8209" max="8209" width="11.5703125" style="155" customWidth="1"/>
    <col min="8210" max="8448" width="9.140625" style="155"/>
    <col min="8449" max="8449" width="15.7109375" style="155" customWidth="1"/>
    <col min="8450" max="8450" width="30.42578125" style="155" customWidth="1"/>
    <col min="8451" max="8462" width="10.7109375" style="155" customWidth="1"/>
    <col min="8463" max="8463" width="12.5703125" style="155" customWidth="1"/>
    <col min="8464" max="8464" width="6.28515625" style="155" bestFit="1" customWidth="1"/>
    <col min="8465" max="8465" width="11.5703125" style="155" customWidth="1"/>
    <col min="8466" max="8704" width="9.140625" style="155"/>
    <col min="8705" max="8705" width="15.7109375" style="155" customWidth="1"/>
    <col min="8706" max="8706" width="30.42578125" style="155" customWidth="1"/>
    <col min="8707" max="8718" width="10.7109375" style="155" customWidth="1"/>
    <col min="8719" max="8719" width="12.5703125" style="155" customWidth="1"/>
    <col min="8720" max="8720" width="6.28515625" style="155" bestFit="1" customWidth="1"/>
    <col min="8721" max="8721" width="11.5703125" style="155" customWidth="1"/>
    <col min="8722" max="8960" width="9.140625" style="155"/>
    <col min="8961" max="8961" width="15.7109375" style="155" customWidth="1"/>
    <col min="8962" max="8962" width="30.42578125" style="155" customWidth="1"/>
    <col min="8963" max="8974" width="10.7109375" style="155" customWidth="1"/>
    <col min="8975" max="8975" width="12.5703125" style="155" customWidth="1"/>
    <col min="8976" max="8976" width="6.28515625" style="155" bestFit="1" customWidth="1"/>
    <col min="8977" max="8977" width="11.5703125" style="155" customWidth="1"/>
    <col min="8978" max="9216" width="9.140625" style="155"/>
    <col min="9217" max="9217" width="15.7109375" style="155" customWidth="1"/>
    <col min="9218" max="9218" width="30.42578125" style="155" customWidth="1"/>
    <col min="9219" max="9230" width="10.7109375" style="155" customWidth="1"/>
    <col min="9231" max="9231" width="12.5703125" style="155" customWidth="1"/>
    <col min="9232" max="9232" width="6.28515625" style="155" bestFit="1" customWidth="1"/>
    <col min="9233" max="9233" width="11.5703125" style="155" customWidth="1"/>
    <col min="9234" max="9472" width="9.140625" style="155"/>
    <col min="9473" max="9473" width="15.7109375" style="155" customWidth="1"/>
    <col min="9474" max="9474" width="30.42578125" style="155" customWidth="1"/>
    <col min="9475" max="9486" width="10.7109375" style="155" customWidth="1"/>
    <col min="9487" max="9487" width="12.5703125" style="155" customWidth="1"/>
    <col min="9488" max="9488" width="6.28515625" style="155" bestFit="1" customWidth="1"/>
    <col min="9489" max="9489" width="11.5703125" style="155" customWidth="1"/>
    <col min="9490" max="9728" width="9.140625" style="155"/>
    <col min="9729" max="9729" width="15.7109375" style="155" customWidth="1"/>
    <col min="9730" max="9730" width="30.42578125" style="155" customWidth="1"/>
    <col min="9731" max="9742" width="10.7109375" style="155" customWidth="1"/>
    <col min="9743" max="9743" width="12.5703125" style="155" customWidth="1"/>
    <col min="9744" max="9744" width="6.28515625" style="155" bestFit="1" customWidth="1"/>
    <col min="9745" max="9745" width="11.5703125" style="155" customWidth="1"/>
    <col min="9746" max="9984" width="9.140625" style="155"/>
    <col min="9985" max="9985" width="15.7109375" style="155" customWidth="1"/>
    <col min="9986" max="9986" width="30.42578125" style="155" customWidth="1"/>
    <col min="9987" max="9998" width="10.7109375" style="155" customWidth="1"/>
    <col min="9999" max="9999" width="12.5703125" style="155" customWidth="1"/>
    <col min="10000" max="10000" width="6.28515625" style="155" bestFit="1" customWidth="1"/>
    <col min="10001" max="10001" width="11.5703125" style="155" customWidth="1"/>
    <col min="10002" max="10240" width="9.140625" style="155"/>
    <col min="10241" max="10241" width="15.7109375" style="155" customWidth="1"/>
    <col min="10242" max="10242" width="30.42578125" style="155" customWidth="1"/>
    <col min="10243" max="10254" width="10.7109375" style="155" customWidth="1"/>
    <col min="10255" max="10255" width="12.5703125" style="155" customWidth="1"/>
    <col min="10256" max="10256" width="6.28515625" style="155" bestFit="1" customWidth="1"/>
    <col min="10257" max="10257" width="11.5703125" style="155" customWidth="1"/>
    <col min="10258" max="10496" width="9.140625" style="155"/>
    <col min="10497" max="10497" width="15.7109375" style="155" customWidth="1"/>
    <col min="10498" max="10498" width="30.42578125" style="155" customWidth="1"/>
    <col min="10499" max="10510" width="10.7109375" style="155" customWidth="1"/>
    <col min="10511" max="10511" width="12.5703125" style="155" customWidth="1"/>
    <col min="10512" max="10512" width="6.28515625" style="155" bestFit="1" customWidth="1"/>
    <col min="10513" max="10513" width="11.5703125" style="155" customWidth="1"/>
    <col min="10514" max="10752" width="9.140625" style="155"/>
    <col min="10753" max="10753" width="15.7109375" style="155" customWidth="1"/>
    <col min="10754" max="10754" width="30.42578125" style="155" customWidth="1"/>
    <col min="10755" max="10766" width="10.7109375" style="155" customWidth="1"/>
    <col min="10767" max="10767" width="12.5703125" style="155" customWidth="1"/>
    <col min="10768" max="10768" width="6.28515625" style="155" bestFit="1" customWidth="1"/>
    <col min="10769" max="10769" width="11.5703125" style="155" customWidth="1"/>
    <col min="10770" max="11008" width="9.140625" style="155"/>
    <col min="11009" max="11009" width="15.7109375" style="155" customWidth="1"/>
    <col min="11010" max="11010" width="30.42578125" style="155" customWidth="1"/>
    <col min="11011" max="11022" width="10.7109375" style="155" customWidth="1"/>
    <col min="11023" max="11023" width="12.5703125" style="155" customWidth="1"/>
    <col min="11024" max="11024" width="6.28515625" style="155" bestFit="1" customWidth="1"/>
    <col min="11025" max="11025" width="11.5703125" style="155" customWidth="1"/>
    <col min="11026" max="11264" width="9.140625" style="155"/>
    <col min="11265" max="11265" width="15.7109375" style="155" customWidth="1"/>
    <col min="11266" max="11266" width="30.42578125" style="155" customWidth="1"/>
    <col min="11267" max="11278" width="10.7109375" style="155" customWidth="1"/>
    <col min="11279" max="11279" width="12.5703125" style="155" customWidth="1"/>
    <col min="11280" max="11280" width="6.28515625" style="155" bestFit="1" customWidth="1"/>
    <col min="11281" max="11281" width="11.5703125" style="155" customWidth="1"/>
    <col min="11282" max="11520" width="9.140625" style="155"/>
    <col min="11521" max="11521" width="15.7109375" style="155" customWidth="1"/>
    <col min="11522" max="11522" width="30.42578125" style="155" customWidth="1"/>
    <col min="11523" max="11534" width="10.7109375" style="155" customWidth="1"/>
    <col min="11535" max="11535" width="12.5703125" style="155" customWidth="1"/>
    <col min="11536" max="11536" width="6.28515625" style="155" bestFit="1" customWidth="1"/>
    <col min="11537" max="11537" width="11.5703125" style="155" customWidth="1"/>
    <col min="11538" max="11776" width="9.140625" style="155"/>
    <col min="11777" max="11777" width="15.7109375" style="155" customWidth="1"/>
    <col min="11778" max="11778" width="30.42578125" style="155" customWidth="1"/>
    <col min="11779" max="11790" width="10.7109375" style="155" customWidth="1"/>
    <col min="11791" max="11791" width="12.5703125" style="155" customWidth="1"/>
    <col min="11792" max="11792" width="6.28515625" style="155" bestFit="1" customWidth="1"/>
    <col min="11793" max="11793" width="11.5703125" style="155" customWidth="1"/>
    <col min="11794" max="12032" width="9.140625" style="155"/>
    <col min="12033" max="12033" width="15.7109375" style="155" customWidth="1"/>
    <col min="12034" max="12034" width="30.42578125" style="155" customWidth="1"/>
    <col min="12035" max="12046" width="10.7109375" style="155" customWidth="1"/>
    <col min="12047" max="12047" width="12.5703125" style="155" customWidth="1"/>
    <col min="12048" max="12048" width="6.28515625" style="155" bestFit="1" customWidth="1"/>
    <col min="12049" max="12049" width="11.5703125" style="155" customWidth="1"/>
    <col min="12050" max="12288" width="9.140625" style="155"/>
    <col min="12289" max="12289" width="15.7109375" style="155" customWidth="1"/>
    <col min="12290" max="12290" width="30.42578125" style="155" customWidth="1"/>
    <col min="12291" max="12302" width="10.7109375" style="155" customWidth="1"/>
    <col min="12303" max="12303" width="12.5703125" style="155" customWidth="1"/>
    <col min="12304" max="12304" width="6.28515625" style="155" bestFit="1" customWidth="1"/>
    <col min="12305" max="12305" width="11.5703125" style="155" customWidth="1"/>
    <col min="12306" max="12544" width="9.140625" style="155"/>
    <col min="12545" max="12545" width="15.7109375" style="155" customWidth="1"/>
    <col min="12546" max="12546" width="30.42578125" style="155" customWidth="1"/>
    <col min="12547" max="12558" width="10.7109375" style="155" customWidth="1"/>
    <col min="12559" max="12559" width="12.5703125" style="155" customWidth="1"/>
    <col min="12560" max="12560" width="6.28515625" style="155" bestFit="1" customWidth="1"/>
    <col min="12561" max="12561" width="11.5703125" style="155" customWidth="1"/>
    <col min="12562" max="12800" width="9.140625" style="155"/>
    <col min="12801" max="12801" width="15.7109375" style="155" customWidth="1"/>
    <col min="12802" max="12802" width="30.42578125" style="155" customWidth="1"/>
    <col min="12803" max="12814" width="10.7109375" style="155" customWidth="1"/>
    <col min="12815" max="12815" width="12.5703125" style="155" customWidth="1"/>
    <col min="12816" max="12816" width="6.28515625" style="155" bestFit="1" customWidth="1"/>
    <col min="12817" max="12817" width="11.5703125" style="155" customWidth="1"/>
    <col min="12818" max="13056" width="9.140625" style="155"/>
    <col min="13057" max="13057" width="15.7109375" style="155" customWidth="1"/>
    <col min="13058" max="13058" width="30.42578125" style="155" customWidth="1"/>
    <col min="13059" max="13070" width="10.7109375" style="155" customWidth="1"/>
    <col min="13071" max="13071" width="12.5703125" style="155" customWidth="1"/>
    <col min="13072" max="13072" width="6.28515625" style="155" bestFit="1" customWidth="1"/>
    <col min="13073" max="13073" width="11.5703125" style="155" customWidth="1"/>
    <col min="13074" max="13312" width="9.140625" style="155"/>
    <col min="13313" max="13313" width="15.7109375" style="155" customWidth="1"/>
    <col min="13314" max="13314" width="30.42578125" style="155" customWidth="1"/>
    <col min="13315" max="13326" width="10.7109375" style="155" customWidth="1"/>
    <col min="13327" max="13327" width="12.5703125" style="155" customWidth="1"/>
    <col min="13328" max="13328" width="6.28515625" style="155" bestFit="1" customWidth="1"/>
    <col min="13329" max="13329" width="11.5703125" style="155" customWidth="1"/>
    <col min="13330" max="13568" width="9.140625" style="155"/>
    <col min="13569" max="13569" width="15.7109375" style="155" customWidth="1"/>
    <col min="13570" max="13570" width="30.42578125" style="155" customWidth="1"/>
    <col min="13571" max="13582" width="10.7109375" style="155" customWidth="1"/>
    <col min="13583" max="13583" width="12.5703125" style="155" customWidth="1"/>
    <col min="13584" max="13584" width="6.28515625" style="155" bestFit="1" customWidth="1"/>
    <col min="13585" max="13585" width="11.5703125" style="155" customWidth="1"/>
    <col min="13586" max="13824" width="9.140625" style="155"/>
    <col min="13825" max="13825" width="15.7109375" style="155" customWidth="1"/>
    <col min="13826" max="13826" width="30.42578125" style="155" customWidth="1"/>
    <col min="13827" max="13838" width="10.7109375" style="155" customWidth="1"/>
    <col min="13839" max="13839" width="12.5703125" style="155" customWidth="1"/>
    <col min="13840" max="13840" width="6.28515625" style="155" bestFit="1" customWidth="1"/>
    <col min="13841" max="13841" width="11.5703125" style="155" customWidth="1"/>
    <col min="13842" max="14080" width="9.140625" style="155"/>
    <col min="14081" max="14081" width="15.7109375" style="155" customWidth="1"/>
    <col min="14082" max="14082" width="30.42578125" style="155" customWidth="1"/>
    <col min="14083" max="14094" width="10.7109375" style="155" customWidth="1"/>
    <col min="14095" max="14095" width="12.5703125" style="155" customWidth="1"/>
    <col min="14096" max="14096" width="6.28515625" style="155" bestFit="1" customWidth="1"/>
    <col min="14097" max="14097" width="11.5703125" style="155" customWidth="1"/>
    <col min="14098" max="14336" width="9.140625" style="155"/>
    <col min="14337" max="14337" width="15.7109375" style="155" customWidth="1"/>
    <col min="14338" max="14338" width="30.42578125" style="155" customWidth="1"/>
    <col min="14339" max="14350" width="10.7109375" style="155" customWidth="1"/>
    <col min="14351" max="14351" width="12.5703125" style="155" customWidth="1"/>
    <col min="14352" max="14352" width="6.28515625" style="155" bestFit="1" customWidth="1"/>
    <col min="14353" max="14353" width="11.5703125" style="155" customWidth="1"/>
    <col min="14354" max="14592" width="9.140625" style="155"/>
    <col min="14593" max="14593" width="15.7109375" style="155" customWidth="1"/>
    <col min="14594" max="14594" width="30.42578125" style="155" customWidth="1"/>
    <col min="14595" max="14606" width="10.7109375" style="155" customWidth="1"/>
    <col min="14607" max="14607" width="12.5703125" style="155" customWidth="1"/>
    <col min="14608" max="14608" width="6.28515625" style="155" bestFit="1" customWidth="1"/>
    <col min="14609" max="14609" width="11.5703125" style="155" customWidth="1"/>
    <col min="14610" max="14848" width="9.140625" style="155"/>
    <col min="14849" max="14849" width="15.7109375" style="155" customWidth="1"/>
    <col min="14850" max="14850" width="30.42578125" style="155" customWidth="1"/>
    <col min="14851" max="14862" width="10.7109375" style="155" customWidth="1"/>
    <col min="14863" max="14863" width="12.5703125" style="155" customWidth="1"/>
    <col min="14864" max="14864" width="6.28515625" style="155" bestFit="1" customWidth="1"/>
    <col min="14865" max="14865" width="11.5703125" style="155" customWidth="1"/>
    <col min="14866" max="15104" width="9.140625" style="155"/>
    <col min="15105" max="15105" width="15.7109375" style="155" customWidth="1"/>
    <col min="15106" max="15106" width="30.42578125" style="155" customWidth="1"/>
    <col min="15107" max="15118" width="10.7109375" style="155" customWidth="1"/>
    <col min="15119" max="15119" width="12.5703125" style="155" customWidth="1"/>
    <col min="15120" max="15120" width="6.28515625" style="155" bestFit="1" customWidth="1"/>
    <col min="15121" max="15121" width="11.5703125" style="155" customWidth="1"/>
    <col min="15122" max="15360" width="9.140625" style="155"/>
    <col min="15361" max="15361" width="15.7109375" style="155" customWidth="1"/>
    <col min="15362" max="15362" width="30.42578125" style="155" customWidth="1"/>
    <col min="15363" max="15374" width="10.7109375" style="155" customWidth="1"/>
    <col min="15375" max="15375" width="12.5703125" style="155" customWidth="1"/>
    <col min="15376" max="15376" width="6.28515625" style="155" bestFit="1" customWidth="1"/>
    <col min="15377" max="15377" width="11.5703125" style="155" customWidth="1"/>
    <col min="15378" max="15616" width="9.140625" style="155"/>
    <col min="15617" max="15617" width="15.7109375" style="155" customWidth="1"/>
    <col min="15618" max="15618" width="30.42578125" style="155" customWidth="1"/>
    <col min="15619" max="15630" width="10.7109375" style="155" customWidth="1"/>
    <col min="15631" max="15631" width="12.5703125" style="155" customWidth="1"/>
    <col min="15632" max="15632" width="6.28515625" style="155" bestFit="1" customWidth="1"/>
    <col min="15633" max="15633" width="11.5703125" style="155" customWidth="1"/>
    <col min="15634" max="15872" width="9.140625" style="155"/>
    <col min="15873" max="15873" width="15.7109375" style="155" customWidth="1"/>
    <col min="15874" max="15874" width="30.42578125" style="155" customWidth="1"/>
    <col min="15875" max="15886" width="10.7109375" style="155" customWidth="1"/>
    <col min="15887" max="15887" width="12.5703125" style="155" customWidth="1"/>
    <col min="15888" max="15888" width="6.28515625" style="155" bestFit="1" customWidth="1"/>
    <col min="15889" max="15889" width="11.5703125" style="155" customWidth="1"/>
    <col min="15890" max="16128" width="9.140625" style="155"/>
    <col min="16129" max="16129" width="15.7109375" style="155" customWidth="1"/>
    <col min="16130" max="16130" width="30.42578125" style="155" customWidth="1"/>
    <col min="16131" max="16142" width="10.7109375" style="155" customWidth="1"/>
    <col min="16143" max="16143" width="12.5703125" style="155" customWidth="1"/>
    <col min="16144" max="16144" width="6.28515625" style="155" bestFit="1" customWidth="1"/>
    <col min="16145" max="16145" width="11.5703125" style="155" customWidth="1"/>
    <col min="16146" max="16384" width="9.140625" style="155"/>
  </cols>
  <sheetData>
    <row r="2" spans="2:17">
      <c r="C2" s="101"/>
      <c r="D2" s="101"/>
      <c r="E2" s="742" t="s">
        <v>906</v>
      </c>
      <c r="F2" s="101"/>
      <c r="H2" s="101"/>
      <c r="I2" s="101"/>
      <c r="K2" s="101"/>
      <c r="L2" s="101"/>
      <c r="M2" s="101"/>
      <c r="N2" s="101"/>
      <c r="O2" s="101"/>
    </row>
    <row r="3" spans="2:17">
      <c r="C3" s="101"/>
      <c r="D3" s="101"/>
      <c r="E3" s="373" t="s">
        <v>720</v>
      </c>
      <c r="F3" s="101"/>
      <c r="H3" s="101"/>
      <c r="I3" s="101"/>
      <c r="K3" s="101"/>
      <c r="L3" s="101"/>
      <c r="M3" s="101"/>
      <c r="N3" s="101"/>
      <c r="O3" s="101"/>
    </row>
    <row r="4" spans="2:17">
      <c r="C4" s="101"/>
      <c r="D4" s="101"/>
      <c r="E4" s="277" t="s">
        <v>265</v>
      </c>
      <c r="F4" s="101"/>
      <c r="H4" s="101"/>
      <c r="I4" s="101"/>
      <c r="K4" s="101"/>
      <c r="L4" s="101"/>
      <c r="M4" s="101"/>
      <c r="N4" s="101"/>
      <c r="O4" s="101"/>
      <c r="P4" s="62"/>
      <c r="Q4" s="62"/>
    </row>
    <row r="5" spans="2:17">
      <c r="B5" s="21"/>
      <c r="C5" s="154"/>
      <c r="D5" s="154"/>
      <c r="E5" s="154"/>
      <c r="F5" s="154"/>
      <c r="G5" s="154"/>
      <c r="H5" s="154"/>
      <c r="I5" s="154"/>
      <c r="J5" s="154"/>
      <c r="K5" s="154"/>
      <c r="L5" s="154"/>
      <c r="M5" s="154"/>
      <c r="N5" s="154"/>
      <c r="O5" s="154"/>
      <c r="P5" s="62"/>
      <c r="Q5" s="62"/>
    </row>
    <row r="6" spans="2:17">
      <c r="B6" s="46" t="s">
        <v>281</v>
      </c>
      <c r="C6" s="154"/>
      <c r="D6" s="154"/>
      <c r="E6" s="154"/>
      <c r="F6" s="154"/>
      <c r="G6" s="154"/>
      <c r="H6" s="154"/>
      <c r="I6" s="154"/>
      <c r="J6" s="154"/>
      <c r="K6" s="154"/>
      <c r="L6" s="154"/>
      <c r="M6" s="154"/>
      <c r="N6" s="154"/>
      <c r="O6" s="62"/>
    </row>
    <row r="7" spans="2:17">
      <c r="B7" s="46"/>
      <c r="C7" s="154"/>
      <c r="D7" s="154"/>
      <c r="E7" s="154"/>
      <c r="F7" s="154"/>
      <c r="G7" s="154"/>
      <c r="H7" s="154"/>
      <c r="I7" s="154"/>
      <c r="J7" s="154"/>
      <c r="K7" s="154"/>
      <c r="L7" s="154"/>
      <c r="M7" s="154"/>
      <c r="N7" s="154"/>
      <c r="O7" s="62"/>
    </row>
    <row r="8" spans="2:17" ht="15" customHeight="1">
      <c r="B8" s="1383" t="s">
        <v>266</v>
      </c>
      <c r="C8" s="1380" t="s">
        <v>38</v>
      </c>
      <c r="D8" s="1381"/>
      <c r="E8" s="1382"/>
    </row>
    <row r="9" spans="2:17" ht="28.5">
      <c r="B9" s="1384"/>
      <c r="C9" s="405" t="s">
        <v>413</v>
      </c>
      <c r="D9" s="356" t="s">
        <v>414</v>
      </c>
      <c r="E9" s="356" t="s">
        <v>415</v>
      </c>
    </row>
    <row r="10" spans="2:17">
      <c r="B10" s="1385"/>
      <c r="C10" s="356" t="s">
        <v>72</v>
      </c>
      <c r="D10" s="356" t="s">
        <v>73</v>
      </c>
      <c r="E10" s="356" t="s">
        <v>418</v>
      </c>
      <c r="G10" s="1080"/>
    </row>
    <row r="11" spans="2:17">
      <c r="B11" s="446" t="str">
        <f>B57</f>
        <v>HT Category</v>
      </c>
      <c r="C11" s="41"/>
      <c r="D11" s="41"/>
      <c r="E11" s="14"/>
    </row>
    <row r="12" spans="2:17">
      <c r="B12" s="447" t="str">
        <f t="shared" ref="B12:B13" si="0">B58</f>
        <v>HT I</v>
      </c>
      <c r="C12" s="583">
        <f>Backup!N7</f>
        <v>74.911516610000007</v>
      </c>
      <c r="D12" s="448">
        <f>O58</f>
        <v>74.911516610000007</v>
      </c>
      <c r="E12" s="651">
        <f>D12-C12</f>
        <v>0</v>
      </c>
    </row>
    <row r="13" spans="2:17">
      <c r="B13" s="447" t="str">
        <f t="shared" si="0"/>
        <v>HT II</v>
      </c>
      <c r="C13" s="583">
        <f>Backup!N8</f>
        <v>0.10615620000000002</v>
      </c>
      <c r="D13" s="448">
        <f>O59</f>
        <v>0.10615620000000002</v>
      </c>
      <c r="E13" s="651">
        <f t="shared" ref="E13:E24" si="1">D13-C13</f>
        <v>0</v>
      </c>
    </row>
    <row r="14" spans="2:17">
      <c r="B14" s="286" t="s">
        <v>424</v>
      </c>
      <c r="C14" s="443">
        <f>SUM(C9:C13)</f>
        <v>75.017672810000008</v>
      </c>
      <c r="D14" s="420">
        <f>SUM(D12:D13)</f>
        <v>75.017672810000008</v>
      </c>
      <c r="E14" s="651">
        <f t="shared" si="1"/>
        <v>0</v>
      </c>
    </row>
    <row r="15" spans="2:17">
      <c r="B15" s="67"/>
      <c r="C15" s="41"/>
      <c r="D15" s="41"/>
      <c r="E15" s="651">
        <f t="shared" si="1"/>
        <v>0</v>
      </c>
    </row>
    <row r="16" spans="2:17">
      <c r="B16" s="446" t="str">
        <f>B60</f>
        <v>LT Category</v>
      </c>
      <c r="C16" s="41"/>
      <c r="D16" s="41"/>
      <c r="E16" s="651">
        <f t="shared" si="1"/>
        <v>0</v>
      </c>
    </row>
    <row r="17" spans="2:15">
      <c r="B17" s="447" t="str">
        <f t="shared" ref="B17:B21" si="2">B61</f>
        <v>LT II A</v>
      </c>
      <c r="C17" s="583">
        <f>Backup!N10</f>
        <v>0.11212109999999999</v>
      </c>
      <c r="D17" s="448">
        <f>O61</f>
        <v>0.11212109999999999</v>
      </c>
      <c r="E17" s="651">
        <f t="shared" si="1"/>
        <v>0</v>
      </c>
    </row>
    <row r="18" spans="2:15">
      <c r="B18" s="447" t="str">
        <f t="shared" si="2"/>
        <v>LT II B</v>
      </c>
      <c r="C18" s="583">
        <f>Backup!N11</f>
        <v>0.29657299999999998</v>
      </c>
      <c r="D18" s="448">
        <f t="shared" ref="D18:D21" si="3">O62</f>
        <v>0.29657299999999998</v>
      </c>
      <c r="E18" s="651">
        <f t="shared" si="1"/>
        <v>0</v>
      </c>
    </row>
    <row r="19" spans="2:15">
      <c r="B19" s="447" t="str">
        <f t="shared" si="2"/>
        <v>LT II C</v>
      </c>
      <c r="C19" s="583">
        <f>Backup!N12</f>
        <v>0</v>
      </c>
      <c r="D19" s="448">
        <f t="shared" si="3"/>
        <v>0</v>
      </c>
      <c r="E19" s="651">
        <f t="shared" si="1"/>
        <v>0</v>
      </c>
    </row>
    <row r="20" spans="2:15">
      <c r="B20" s="447" t="str">
        <f t="shared" si="2"/>
        <v>LT V A</v>
      </c>
      <c r="C20" s="583">
        <f>Backup!N13</f>
        <v>0.28949749999999996</v>
      </c>
      <c r="D20" s="448">
        <f t="shared" si="3"/>
        <v>0.28949749999999996</v>
      </c>
      <c r="E20" s="651">
        <f t="shared" si="1"/>
        <v>0</v>
      </c>
    </row>
    <row r="21" spans="2:15">
      <c r="B21" s="447" t="str">
        <f t="shared" si="2"/>
        <v>LT V B</v>
      </c>
      <c r="C21" s="583">
        <f>Backup!N14</f>
        <v>6.1571993699999998</v>
      </c>
      <c r="D21" s="448">
        <f t="shared" si="3"/>
        <v>6.1571993699999998</v>
      </c>
      <c r="E21" s="651">
        <f t="shared" si="1"/>
        <v>0</v>
      </c>
    </row>
    <row r="22" spans="2:15">
      <c r="B22" s="286" t="s">
        <v>424</v>
      </c>
      <c r="C22" s="443">
        <f>SUM(C17:C21)</f>
        <v>6.8553909700000002</v>
      </c>
      <c r="D22" s="420">
        <f>SUM(D17:D21)</f>
        <v>6.8553909700000002</v>
      </c>
      <c r="E22" s="651">
        <f t="shared" si="1"/>
        <v>0</v>
      </c>
    </row>
    <row r="23" spans="2:15">
      <c r="B23" s="67"/>
      <c r="C23" s="14"/>
      <c r="D23" s="14"/>
      <c r="E23" s="651">
        <f>D23-C23</f>
        <v>0</v>
      </c>
    </row>
    <row r="24" spans="2:15">
      <c r="B24" s="63" t="s">
        <v>115</v>
      </c>
      <c r="C24" s="455">
        <f>C14+C22</f>
        <v>81.87306378000001</v>
      </c>
      <c r="D24" s="420">
        <f>D22+D14</f>
        <v>81.87306378000001</v>
      </c>
      <c r="E24" s="651">
        <f t="shared" si="1"/>
        <v>0</v>
      </c>
    </row>
    <row r="25" spans="2:15">
      <c r="B25" s="181"/>
      <c r="F25" s="326"/>
      <c r="G25" s="327"/>
      <c r="H25" s="392"/>
      <c r="I25" s="392"/>
    </row>
    <row r="26" spans="2:15">
      <c r="B26" s="181"/>
      <c r="F26" s="326"/>
      <c r="G26" s="327"/>
      <c r="H26" s="392"/>
      <c r="I26" s="392"/>
    </row>
    <row r="27" spans="2:15">
      <c r="B27" s="46" t="s">
        <v>281</v>
      </c>
      <c r="C27" s="154"/>
      <c r="D27" s="154"/>
      <c r="E27" s="154"/>
      <c r="F27" s="154"/>
      <c r="G27" s="154"/>
      <c r="H27" s="154"/>
      <c r="I27" s="154"/>
      <c r="J27" s="154"/>
      <c r="K27" s="154"/>
      <c r="L27" s="154"/>
      <c r="M27" s="154"/>
      <c r="N27" s="154"/>
      <c r="O27" s="62"/>
    </row>
    <row r="28" spans="2:15">
      <c r="B28" s="46"/>
      <c r="C28" s="154"/>
      <c r="D28" s="154"/>
      <c r="E28" s="154"/>
      <c r="F28" s="154"/>
      <c r="G28" s="154"/>
      <c r="H28" s="154"/>
      <c r="I28" s="154"/>
      <c r="J28" s="154"/>
      <c r="K28" s="154"/>
      <c r="L28" s="154"/>
      <c r="M28" s="154"/>
      <c r="N28" s="154"/>
      <c r="O28" s="62"/>
    </row>
    <row r="29" spans="2:15" ht="15" customHeight="1">
      <c r="B29" s="1383" t="s">
        <v>266</v>
      </c>
      <c r="C29" s="1380" t="s">
        <v>146</v>
      </c>
      <c r="D29" s="1381"/>
      <c r="E29" s="1382"/>
      <c r="F29" s="1380" t="s">
        <v>147</v>
      </c>
      <c r="G29" s="1381"/>
      <c r="H29" s="1381"/>
      <c r="I29" s="1381"/>
      <c r="J29" s="1382"/>
      <c r="K29" s="1365" t="s">
        <v>148</v>
      </c>
      <c r="L29" s="1365"/>
      <c r="M29" s="1365" t="s">
        <v>149</v>
      </c>
      <c r="N29" s="1365"/>
    </row>
    <row r="30" spans="2:15" ht="48.75" customHeight="1">
      <c r="B30" s="1384"/>
      <c r="C30" s="419" t="s">
        <v>413</v>
      </c>
      <c r="D30" s="412" t="s">
        <v>672</v>
      </c>
      <c r="E30" s="412" t="s">
        <v>415</v>
      </c>
      <c r="F30" s="412" t="s">
        <v>413</v>
      </c>
      <c r="G30" s="412" t="s">
        <v>673</v>
      </c>
      <c r="H30" s="412" t="s">
        <v>1309</v>
      </c>
      <c r="I30" s="412" t="s">
        <v>1310</v>
      </c>
      <c r="J30" s="412" t="s">
        <v>417</v>
      </c>
      <c r="K30" s="412" t="s">
        <v>413</v>
      </c>
      <c r="L30" s="412" t="s">
        <v>689</v>
      </c>
      <c r="M30" s="412" t="s">
        <v>413</v>
      </c>
      <c r="N30" s="412" t="s">
        <v>689</v>
      </c>
    </row>
    <row r="31" spans="2:15">
      <c r="B31" s="1385"/>
      <c r="C31" s="412" t="s">
        <v>419</v>
      </c>
      <c r="D31" s="412" t="s">
        <v>420</v>
      </c>
      <c r="E31" s="412" t="s">
        <v>675</v>
      </c>
      <c r="F31" s="412" t="s">
        <v>676</v>
      </c>
      <c r="G31" s="412" t="s">
        <v>593</v>
      </c>
      <c r="H31" s="412" t="s">
        <v>677</v>
      </c>
      <c r="I31" s="412" t="s">
        <v>678</v>
      </c>
      <c r="J31" s="412" t="s">
        <v>679</v>
      </c>
      <c r="K31" s="412" t="s">
        <v>709</v>
      </c>
      <c r="L31" s="412" t="s">
        <v>596</v>
      </c>
      <c r="M31" s="412" t="s">
        <v>710</v>
      </c>
      <c r="N31" s="412" t="s">
        <v>711</v>
      </c>
    </row>
    <row r="32" spans="2:15">
      <c r="B32" s="132" t="str">
        <f>B76</f>
        <v>HT Category</v>
      </c>
      <c r="C32" s="41"/>
      <c r="D32" s="41"/>
      <c r="E32" s="191"/>
      <c r="F32" s="191"/>
      <c r="G32" s="14"/>
      <c r="H32" s="14"/>
      <c r="I32" s="14"/>
      <c r="J32" s="14"/>
      <c r="K32" s="14"/>
      <c r="L32" s="14"/>
      <c r="M32" s="14"/>
      <c r="N32" s="14"/>
    </row>
    <row r="33" spans="2:14">
      <c r="B33" s="148" t="str">
        <f t="shared" ref="B33:B34" si="4">B77</f>
        <v>HT I</v>
      </c>
      <c r="C33" s="583">
        <f>'MYT cal'!N19</f>
        <v>83.411724821918185</v>
      </c>
      <c r="D33" s="444">
        <f>O77</f>
        <v>74.873302989999999</v>
      </c>
      <c r="E33" s="548">
        <f>C33-D33</f>
        <v>8.5384218319181855</v>
      </c>
      <c r="F33" s="548">
        <f>'MYT cal'!N32</f>
        <v>96.245842070137357</v>
      </c>
      <c r="G33" s="583">
        <f>SUM(C98:H98)</f>
        <v>39.735758199999999</v>
      </c>
      <c r="H33" s="583">
        <f>SUM(I98:N98)</f>
        <v>35.529996960000005</v>
      </c>
      <c r="I33" s="583">
        <f>H33+G33</f>
        <v>75.265755159999998</v>
      </c>
      <c r="J33" s="583">
        <f>F33-I33</f>
        <v>20.980086910137359</v>
      </c>
      <c r="K33" s="583">
        <f>'MYT cal'!N45</f>
        <v>103.20830049083872</v>
      </c>
      <c r="L33" s="583">
        <f>O119</f>
        <v>79.618412711600016</v>
      </c>
      <c r="M33" s="583">
        <f>'MYT cal'!N58</f>
        <v>110.24038349574712</v>
      </c>
      <c r="N33" s="583">
        <f>O134</f>
        <v>80.414596838715994</v>
      </c>
    </row>
    <row r="34" spans="2:14">
      <c r="B34" s="148" t="str">
        <f t="shared" si="4"/>
        <v>HT II</v>
      </c>
      <c r="C34" s="583">
        <f>'MYT cal'!N20</f>
        <v>3.7264834727272724</v>
      </c>
      <c r="D34" s="444">
        <f>O78</f>
        <v>0</v>
      </c>
      <c r="E34" s="548">
        <f>C34-D34</f>
        <v>3.7264834727272724</v>
      </c>
      <c r="F34" s="548">
        <f>'MYT cal'!N33</f>
        <v>3.7264834727272724</v>
      </c>
      <c r="G34" s="583">
        <f>SUM(C99:H99)</f>
        <v>0</v>
      </c>
      <c r="H34" s="583">
        <f>SUM(I99:N99)</f>
        <v>0</v>
      </c>
      <c r="I34" s="583">
        <f>H34+G34</f>
        <v>0</v>
      </c>
      <c r="J34" s="583">
        <f t="shared" ref="J34:J45" si="5">F34-I34</f>
        <v>3.7264834727272724</v>
      </c>
      <c r="K34" s="583">
        <f>'MYT cal'!N46</f>
        <v>1.9637483074545456</v>
      </c>
      <c r="L34" s="583">
        <f>O120</f>
        <v>5</v>
      </c>
      <c r="M34" s="583">
        <f>'MYT cal'!N59</f>
        <v>0</v>
      </c>
      <c r="N34" s="583">
        <f>O135</f>
        <v>6</v>
      </c>
    </row>
    <row r="35" spans="2:14">
      <c r="B35" s="286" t="s">
        <v>1114</v>
      </c>
      <c r="C35" s="455">
        <f>SUM(C33:C34)</f>
        <v>87.138208294645452</v>
      </c>
      <c r="D35" s="443">
        <f>SUM(D33:D34)</f>
        <v>74.873302989999999</v>
      </c>
      <c r="E35" s="662">
        <f t="shared" ref="E35:E45" si="6">C35-D35</f>
        <v>12.264905304645453</v>
      </c>
      <c r="F35" s="455">
        <f>SUM(F33:F34)</f>
        <v>99.972325542864624</v>
      </c>
      <c r="G35" s="455">
        <f>SUM(G33:G34)</f>
        <v>39.735758199999999</v>
      </c>
      <c r="H35" s="455">
        <f>SUM(H33:H34)</f>
        <v>35.529996960000005</v>
      </c>
      <c r="I35" s="455">
        <f>SUM(I33:I34)</f>
        <v>75.265755159999998</v>
      </c>
      <c r="J35" s="455">
        <f t="shared" si="5"/>
        <v>24.706570382864626</v>
      </c>
      <c r="K35" s="455">
        <f>SUM(K33:K34)</f>
        <v>105.17204879829328</v>
      </c>
      <c r="L35" s="455">
        <f>SUM(L33:L34)</f>
        <v>84.618412711600016</v>
      </c>
      <c r="M35" s="455">
        <f>SUM(M33:M34)</f>
        <v>110.24038349574712</v>
      </c>
      <c r="N35" s="455">
        <f>SUM(N33:N34)</f>
        <v>86.414596838715994</v>
      </c>
    </row>
    <row r="36" spans="2:14">
      <c r="B36" s="67"/>
      <c r="C36" s="455"/>
      <c r="D36" s="14"/>
      <c r="E36" s="548"/>
      <c r="F36" s="662"/>
      <c r="G36" s="583"/>
      <c r="H36" s="583"/>
      <c r="I36" s="583"/>
      <c r="J36" s="583"/>
      <c r="K36" s="583"/>
      <c r="L36" s="583"/>
      <c r="M36" s="583"/>
      <c r="N36" s="583"/>
    </row>
    <row r="37" spans="2:14">
      <c r="B37" s="132" t="str">
        <f>B79</f>
        <v>LT Category</v>
      </c>
      <c r="C37" s="455"/>
      <c r="D37" s="14"/>
      <c r="E37" s="548"/>
      <c r="F37" s="662"/>
      <c r="G37" s="583"/>
      <c r="H37" s="583"/>
      <c r="I37" s="583"/>
      <c r="J37" s="583"/>
      <c r="K37" s="583"/>
      <c r="L37" s="583"/>
      <c r="M37" s="583"/>
      <c r="N37" s="583"/>
    </row>
    <row r="38" spans="2:14">
      <c r="B38" s="148" t="str">
        <f t="shared" ref="B38:B42" si="7">B80</f>
        <v>LT I (G-P)</v>
      </c>
      <c r="C38" s="583">
        <v>0</v>
      </c>
      <c r="D38" s="583">
        <v>0</v>
      </c>
      <c r="E38" s="583">
        <v>0</v>
      </c>
      <c r="F38" s="583">
        <v>0</v>
      </c>
      <c r="G38" s="583">
        <v>0</v>
      </c>
      <c r="H38" s="583">
        <v>0</v>
      </c>
      <c r="I38" s="583">
        <v>0</v>
      </c>
      <c r="J38" s="583">
        <v>0</v>
      </c>
      <c r="K38" s="583">
        <v>0</v>
      </c>
      <c r="L38" s="583">
        <v>0</v>
      </c>
      <c r="M38" s="583">
        <v>0</v>
      </c>
      <c r="N38" s="583">
        <v>0</v>
      </c>
    </row>
    <row r="39" spans="2:14">
      <c r="B39" s="148" t="str">
        <f t="shared" si="7"/>
        <v>LT II (A)</v>
      </c>
      <c r="C39" s="583">
        <f>'MYT cal'!N23</f>
        <v>0.11585068190909091</v>
      </c>
      <c r="D39" s="444">
        <f t="shared" ref="D39:D42" si="8">O81</f>
        <v>0.31616228000000002</v>
      </c>
      <c r="E39" s="548">
        <f t="shared" si="6"/>
        <v>-0.20031159809090909</v>
      </c>
      <c r="F39" s="548">
        <f>'MYT cal'!N36</f>
        <v>0.11700918872818183</v>
      </c>
      <c r="G39" s="583">
        <f t="shared" ref="G39:G42" si="9">SUM(C102:H102)</f>
        <v>0.29079579</v>
      </c>
      <c r="H39" s="583">
        <f t="shared" ref="H39:H42" si="10">SUM(I102:N102)</f>
        <v>0.34097270999999996</v>
      </c>
      <c r="I39" s="583">
        <f t="shared" ref="I39:I42" si="11">H39+G39</f>
        <v>0.63176849999999996</v>
      </c>
      <c r="J39" s="583">
        <f t="shared" si="5"/>
        <v>-0.51475931127181807</v>
      </c>
      <c r="K39" s="583">
        <f>'MYT cal'!N49</f>
        <v>0.11817928061546365</v>
      </c>
      <c r="L39" s="583">
        <f t="shared" ref="L39:L42" si="12">O123</f>
        <v>0.63808618499999992</v>
      </c>
      <c r="M39" s="583">
        <f>'MYT cal'!N62</f>
        <v>0.11936107342161829</v>
      </c>
      <c r="N39" s="583">
        <f t="shared" ref="N39:N42" si="13">O138</f>
        <v>0.64446704685</v>
      </c>
    </row>
    <row r="40" spans="2:14">
      <c r="B40" s="148" t="str">
        <f t="shared" si="7"/>
        <v>LT II (B)</v>
      </c>
      <c r="C40" s="583">
        <f>'MYT cal'!N24</f>
        <v>0.30396950818181817</v>
      </c>
      <c r="D40" s="444">
        <f t="shared" si="8"/>
        <v>0.46311320000000006</v>
      </c>
      <c r="E40" s="548">
        <f t="shared" si="6"/>
        <v>-0.15914369181818189</v>
      </c>
      <c r="F40" s="548">
        <f>'MYT cal'!N37</f>
        <v>0.3070092032636364</v>
      </c>
      <c r="G40" s="583">
        <f t="shared" si="9"/>
        <v>0.23037302000000001</v>
      </c>
      <c r="H40" s="583">
        <f t="shared" si="10"/>
        <v>0.14441098000000002</v>
      </c>
      <c r="I40" s="583">
        <f t="shared" si="11"/>
        <v>0.37478400000000001</v>
      </c>
      <c r="J40" s="583">
        <f t="shared" si="5"/>
        <v>-6.7774796736363607E-2</v>
      </c>
      <c r="K40" s="583">
        <f>'MYT cal'!N50</f>
        <v>0.31007929529627276</v>
      </c>
      <c r="L40" s="583">
        <f t="shared" si="12"/>
        <v>0.37853184000000001</v>
      </c>
      <c r="M40" s="583">
        <f>'MYT cal'!N63</f>
        <v>0.31318008824923549</v>
      </c>
      <c r="N40" s="583">
        <f t="shared" si="13"/>
        <v>0.38231715840000002</v>
      </c>
    </row>
    <row r="41" spans="2:14">
      <c r="B41" s="148" t="str">
        <f t="shared" si="7"/>
        <v>LT III (A)</v>
      </c>
      <c r="C41" s="583">
        <f>'MYT cal'!N25</f>
        <v>0.29806169681818179</v>
      </c>
      <c r="D41" s="444">
        <f t="shared" si="8"/>
        <v>0.18799069999999998</v>
      </c>
      <c r="E41" s="548">
        <f t="shared" si="6"/>
        <v>0.1100709968181818</v>
      </c>
      <c r="F41" s="548">
        <f>'MYT cal'!N38</f>
        <v>0.30104231378636365</v>
      </c>
      <c r="G41" s="583">
        <f t="shared" si="9"/>
        <v>3.5606000000000001E-3</v>
      </c>
      <c r="H41" s="583">
        <f t="shared" si="10"/>
        <v>2.6786000000000002E-3</v>
      </c>
      <c r="I41" s="583">
        <f t="shared" si="11"/>
        <v>6.2392000000000003E-3</v>
      </c>
      <c r="J41" s="583">
        <f t="shared" si="5"/>
        <v>0.29480311378636365</v>
      </c>
      <c r="K41" s="583">
        <f>'MYT cal'!N51</f>
        <v>0.30405273692422718</v>
      </c>
      <c r="L41" s="583">
        <f t="shared" si="12"/>
        <v>6.3015919999999991E-3</v>
      </c>
      <c r="M41" s="583">
        <f>'MYT cal'!N64</f>
        <v>0.30709326429346961</v>
      </c>
      <c r="N41" s="583">
        <f t="shared" si="13"/>
        <v>6.3646079200000002E-3</v>
      </c>
    </row>
    <row r="42" spans="2:14">
      <c r="B42" s="148" t="str">
        <f t="shared" si="7"/>
        <v>LT III (B)</v>
      </c>
      <c r="C42" s="583">
        <f>'MYT cal'!N26</f>
        <v>6.3387894800636371</v>
      </c>
      <c r="D42" s="444">
        <f t="shared" si="8"/>
        <v>7.0426495700000009</v>
      </c>
      <c r="E42" s="548">
        <f t="shared" si="6"/>
        <v>-0.70386008993636384</v>
      </c>
      <c r="F42" s="548">
        <f>'MYT cal'!N39</f>
        <v>6.4021773748642739</v>
      </c>
      <c r="G42" s="583">
        <f t="shared" si="9"/>
        <v>3.7055342800000002</v>
      </c>
      <c r="H42" s="583">
        <f t="shared" si="10"/>
        <v>3.4231507999999997</v>
      </c>
      <c r="I42" s="583">
        <f t="shared" si="11"/>
        <v>7.1286850800000003</v>
      </c>
      <c r="J42" s="583">
        <f>F42-I42</f>
        <v>-0.72650770513572649</v>
      </c>
      <c r="K42" s="583">
        <f>'MYT cal'!N52</f>
        <v>6.4661991486129153</v>
      </c>
      <c r="L42" s="583">
        <f t="shared" si="12"/>
        <v>7.1999719308000003</v>
      </c>
      <c r="M42" s="583">
        <f>'MYT cal'!N65</f>
        <v>6.5308611400990451</v>
      </c>
      <c r="N42" s="583">
        <f t="shared" si="13"/>
        <v>7.2719716501080001</v>
      </c>
    </row>
    <row r="43" spans="2:14">
      <c r="B43" s="286" t="s">
        <v>1115</v>
      </c>
      <c r="C43" s="455">
        <f>SUM(C38:C42)</f>
        <v>7.0566713669727275</v>
      </c>
      <c r="D43" s="443">
        <f>SUM(D38:D42)</f>
        <v>8.0099157500000011</v>
      </c>
      <c r="E43" s="662">
        <f t="shared" si="6"/>
        <v>-0.95324438302727366</v>
      </c>
      <c r="F43" s="455">
        <f>SUM(F38:F42)</f>
        <v>7.1272380806424556</v>
      </c>
      <c r="G43" s="455">
        <f>SUM(G38:G42)</f>
        <v>4.2302636900000001</v>
      </c>
      <c r="H43" s="455">
        <f>SUM(H38:H42)</f>
        <v>3.9112130899999995</v>
      </c>
      <c r="I43" s="455">
        <f>SUM(I38:I42)</f>
        <v>8.1414767799999996</v>
      </c>
      <c r="J43" s="455">
        <f t="shared" si="5"/>
        <v>-1.0142386993575441</v>
      </c>
      <c r="K43" s="455">
        <f>SUM(K38:K42)</f>
        <v>7.1985104614488788</v>
      </c>
      <c r="L43" s="455">
        <f>SUM(L38:L42)</f>
        <v>8.2228915477999998</v>
      </c>
      <c r="M43" s="455">
        <f>SUM(M38:M42)</f>
        <v>7.2704955660633681</v>
      </c>
      <c r="N43" s="455">
        <f>SUM(N38:N42)</f>
        <v>8.3051204632779996</v>
      </c>
    </row>
    <row r="44" spans="2:14">
      <c r="B44" s="67"/>
      <c r="C44" s="583"/>
      <c r="D44" s="444"/>
      <c r="E44" s="548">
        <f t="shared" si="6"/>
        <v>0</v>
      </c>
      <c r="F44" s="662"/>
      <c r="G44" s="583"/>
      <c r="H44" s="583"/>
      <c r="I44" s="583"/>
      <c r="J44" s="583">
        <f t="shared" si="5"/>
        <v>0</v>
      </c>
      <c r="K44" s="583"/>
      <c r="L44" s="583"/>
      <c r="M44" s="583"/>
      <c r="N44" s="583"/>
    </row>
    <row r="45" spans="2:14">
      <c r="B45" s="63" t="s">
        <v>115</v>
      </c>
      <c r="C45" s="660">
        <f>C43+C35</f>
        <v>94.194879661618174</v>
      </c>
      <c r="D45" s="452">
        <f>D43+D35</f>
        <v>82.883218740000004</v>
      </c>
      <c r="E45" s="662">
        <f t="shared" si="6"/>
        <v>11.31166092161817</v>
      </c>
      <c r="F45" s="660">
        <f>F43+F35</f>
        <v>107.09956362350708</v>
      </c>
      <c r="G45" s="660">
        <f>G43+G35</f>
        <v>43.96602189</v>
      </c>
      <c r="H45" s="660">
        <f>H43+H35</f>
        <v>39.441210050000002</v>
      </c>
      <c r="I45" s="660">
        <f>I43+I35</f>
        <v>83.407231940000003</v>
      </c>
      <c r="J45" s="455">
        <f t="shared" si="5"/>
        <v>23.692331683507078</v>
      </c>
      <c r="K45" s="660">
        <f>K43+K35</f>
        <v>112.37055925974215</v>
      </c>
      <c r="L45" s="660">
        <f>L43+L35</f>
        <v>92.841304259400019</v>
      </c>
      <c r="M45" s="660">
        <f>M43+M35</f>
        <v>117.5108790618105</v>
      </c>
      <c r="N45" s="660">
        <f>N43+N35</f>
        <v>94.719717301993995</v>
      </c>
    </row>
    <row r="46" spans="2:14">
      <c r="B46" s="181"/>
      <c r="F46" s="326"/>
      <c r="G46" s="327"/>
      <c r="H46" s="392"/>
      <c r="I46" s="392"/>
    </row>
    <row r="47" spans="2:14">
      <c r="B47" s="181" t="s">
        <v>450</v>
      </c>
    </row>
    <row r="48" spans="2:14">
      <c r="B48" s="39" t="s">
        <v>451</v>
      </c>
    </row>
    <row r="49" spans="2:17">
      <c r="B49" s="39" t="s">
        <v>734</v>
      </c>
    </row>
    <row r="50" spans="2:17">
      <c r="B50" s="181"/>
    </row>
    <row r="51" spans="2:17">
      <c r="B51" s="46" t="s">
        <v>548</v>
      </c>
    </row>
    <row r="52" spans="2:17">
      <c r="B52" s="181"/>
    </row>
    <row r="53" spans="2:17">
      <c r="B53" s="46" t="s">
        <v>681</v>
      </c>
      <c r="C53" s="154"/>
      <c r="D53" s="154"/>
      <c r="E53" s="154"/>
      <c r="F53" s="154"/>
      <c r="G53" s="154"/>
      <c r="H53" s="154"/>
      <c r="I53" s="154"/>
      <c r="J53" s="154"/>
      <c r="K53" s="154"/>
      <c r="L53" s="154"/>
      <c r="M53" s="154"/>
      <c r="N53" s="154"/>
      <c r="O53" s="62"/>
      <c r="P53" s="62"/>
      <c r="Q53" s="62"/>
    </row>
    <row r="54" spans="2:17">
      <c r="B54" s="46"/>
      <c r="C54" s="52"/>
      <c r="D54" s="52"/>
      <c r="O54" s="52" t="s">
        <v>117</v>
      </c>
    </row>
    <row r="55" spans="2:17" s="38" customFormat="1">
      <c r="B55" s="1065" t="s">
        <v>266</v>
      </c>
      <c r="C55" s="153" t="s">
        <v>118</v>
      </c>
      <c r="D55" s="153" t="s">
        <v>119</v>
      </c>
      <c r="E55" s="153" t="s">
        <v>120</v>
      </c>
      <c r="F55" s="153" t="s">
        <v>121</v>
      </c>
      <c r="G55" s="153" t="s">
        <v>122</v>
      </c>
      <c r="H55" s="153" t="s">
        <v>123</v>
      </c>
      <c r="I55" s="153" t="s">
        <v>124</v>
      </c>
      <c r="J55" s="153" t="s">
        <v>125</v>
      </c>
      <c r="K55" s="153" t="s">
        <v>126</v>
      </c>
      <c r="L55" s="153" t="s">
        <v>127</v>
      </c>
      <c r="M55" s="153" t="s">
        <v>128</v>
      </c>
      <c r="N55" s="153" t="s">
        <v>129</v>
      </c>
      <c r="O55" s="153" t="s">
        <v>115</v>
      </c>
    </row>
    <row r="56" spans="2:17" s="39" customFormat="1">
      <c r="B56" s="36"/>
      <c r="C56" s="36"/>
      <c r="D56" s="36"/>
      <c r="E56" s="36"/>
      <c r="F56" s="36"/>
      <c r="G56" s="36"/>
      <c r="H56" s="36"/>
      <c r="I56" s="36"/>
      <c r="J56" s="36"/>
      <c r="K56" s="36"/>
      <c r="L56" s="36"/>
      <c r="M56" s="36"/>
      <c r="N56" s="36"/>
      <c r="O56" s="36"/>
    </row>
    <row r="57" spans="2:17" s="10" customFormat="1">
      <c r="B57" s="441" t="str">
        <f>Backup!A6</f>
        <v>HT Category</v>
      </c>
      <c r="C57" s="442"/>
      <c r="D57" s="442"/>
      <c r="E57" s="442"/>
      <c r="F57" s="442"/>
      <c r="G57" s="442"/>
      <c r="H57" s="442"/>
      <c r="I57" s="442"/>
      <c r="J57" s="442"/>
      <c r="K57" s="442"/>
      <c r="L57" s="442"/>
      <c r="M57" s="442"/>
      <c r="N57" s="442"/>
      <c r="O57" s="441"/>
    </row>
    <row r="58" spans="2:17" s="10" customFormat="1">
      <c r="B58" s="442" t="str">
        <f>Backup!A7</f>
        <v>HT I</v>
      </c>
      <c r="C58" s="442">
        <f>Backup!B7</f>
        <v>4.7678276000000004</v>
      </c>
      <c r="D58" s="442">
        <f>Backup!C7</f>
        <v>6.67727586</v>
      </c>
      <c r="E58" s="442">
        <f>Backup!D7</f>
        <v>6.5120832200000009</v>
      </c>
      <c r="F58" s="442">
        <f>Backup!E7</f>
        <v>6.7975827000000013</v>
      </c>
      <c r="G58" s="442">
        <f>Backup!F7</f>
        <v>6.47425316</v>
      </c>
      <c r="H58" s="442">
        <f>Backup!G7</f>
        <v>6.4092702099999999</v>
      </c>
      <c r="I58" s="442">
        <f>Backup!H7</f>
        <v>6.8755923500000007</v>
      </c>
      <c r="J58" s="442">
        <f>Backup!I7</f>
        <v>6.2436281599999992</v>
      </c>
      <c r="K58" s="442">
        <f>Backup!J7</f>
        <v>6.1139836500000007</v>
      </c>
      <c r="L58" s="442">
        <f>Backup!K7</f>
        <v>5.6933639999999999</v>
      </c>
      <c r="M58" s="442">
        <f>Backup!L7</f>
        <v>5.7884406999999998</v>
      </c>
      <c r="N58" s="442">
        <f>Backup!M7</f>
        <v>6.5582149999999997</v>
      </c>
      <c r="O58" s="441">
        <f t="shared" ref="O58:O65" si="14">SUM(C58:N58)</f>
        <v>74.911516610000007</v>
      </c>
      <c r="P58" s="667"/>
    </row>
    <row r="59" spans="2:17" s="10" customFormat="1">
      <c r="B59" s="442" t="str">
        <f>Backup!A8</f>
        <v>HT II</v>
      </c>
      <c r="C59" s="442">
        <f>Backup!B8</f>
        <v>5.5899999999999998E-2</v>
      </c>
      <c r="D59" s="442">
        <f>Backup!C8</f>
        <v>1.4E-2</v>
      </c>
      <c r="E59" s="442">
        <f>Backup!D8</f>
        <v>4.1221999999999995E-3</v>
      </c>
      <c r="F59" s="442">
        <f>Backup!E8</f>
        <v>4.0010000000000002E-3</v>
      </c>
      <c r="G59" s="442">
        <f>Backup!F8</f>
        <v>4.3241999999999994E-3</v>
      </c>
      <c r="H59" s="442">
        <f>Backup!G8</f>
        <v>4.6877999999999998E-3</v>
      </c>
      <c r="I59" s="442">
        <f>Backup!H8</f>
        <v>5.8593999999999999E-3</v>
      </c>
      <c r="J59" s="442">
        <f>Backup!I8</f>
        <v>5.1726000000000003E-3</v>
      </c>
      <c r="K59" s="442">
        <f>Backup!J8</f>
        <v>4.8089999999999999E-3</v>
      </c>
      <c r="L59" s="442">
        <f>Backup!K8</f>
        <v>3.2799999999999999E-3</v>
      </c>
      <c r="M59" s="442">
        <f>Backup!L8</f>
        <v>0</v>
      </c>
      <c r="N59" s="442">
        <f>Backup!M8</f>
        <v>0</v>
      </c>
      <c r="O59" s="441">
        <f t="shared" si="14"/>
        <v>0.10615620000000002</v>
      </c>
    </row>
    <row r="60" spans="2:17" s="10" customFormat="1">
      <c r="B60" s="441" t="str">
        <f>Backup!A9</f>
        <v>LT Category</v>
      </c>
      <c r="C60" s="442"/>
      <c r="D60" s="442"/>
      <c r="E60" s="442"/>
      <c r="F60" s="442"/>
      <c r="G60" s="442"/>
      <c r="H60" s="442"/>
      <c r="I60" s="442"/>
      <c r="J60" s="442"/>
      <c r="K60" s="442"/>
      <c r="L60" s="442"/>
      <c r="M60" s="442"/>
      <c r="N60" s="442"/>
      <c r="O60" s="441"/>
    </row>
    <row r="61" spans="2:17" s="10" customFormat="1">
      <c r="B61" s="442" t="str">
        <f>Backup!A10</f>
        <v>LT II A</v>
      </c>
      <c r="C61" s="442">
        <f>Backup!B10</f>
        <v>7.1019999999999998E-3</v>
      </c>
      <c r="D61" s="442">
        <f>Backup!C10</f>
        <v>9.3702000000000004E-3</v>
      </c>
      <c r="E61" s="442">
        <f>Backup!D10</f>
        <v>9.2029000000000017E-3</v>
      </c>
      <c r="F61" s="442">
        <f>Backup!E10</f>
        <v>9.6301000000000008E-3</v>
      </c>
      <c r="G61" s="442">
        <f>Backup!F10</f>
        <v>7.098199999999999E-3</v>
      </c>
      <c r="H61" s="442">
        <f>Backup!G10</f>
        <v>6.7862E-3</v>
      </c>
      <c r="I61" s="442">
        <f>Backup!H10</f>
        <v>1.4820799999999999E-2</v>
      </c>
      <c r="J61" s="442">
        <f>Backup!I10</f>
        <v>9.5257000000000015E-3</v>
      </c>
      <c r="K61" s="442">
        <f>Backup!J10</f>
        <v>1.1631200000000001E-2</v>
      </c>
      <c r="L61" s="442">
        <f>Backup!K10</f>
        <v>8.8672999999999998E-3</v>
      </c>
      <c r="M61" s="442">
        <f>Backup!L10</f>
        <v>8.1144000000000008E-3</v>
      </c>
      <c r="N61" s="442">
        <f>Backup!M10</f>
        <v>9.9720999999999994E-3</v>
      </c>
      <c r="O61" s="441">
        <f t="shared" si="14"/>
        <v>0.11212109999999999</v>
      </c>
    </row>
    <row r="62" spans="2:17" s="10" customFormat="1">
      <c r="B62" s="442" t="str">
        <f>Backup!A11</f>
        <v>LT II B</v>
      </c>
      <c r="C62" s="442">
        <f>Backup!B11</f>
        <v>1.2064E-2</v>
      </c>
      <c r="D62" s="442">
        <f>Backup!C11</f>
        <v>2.0576000000000001E-2</v>
      </c>
      <c r="E62" s="442">
        <f>Backup!D11</f>
        <v>2.4630599999999999E-2</v>
      </c>
      <c r="F62" s="442">
        <f>Backup!E11</f>
        <v>2.8840099999999997E-2</v>
      </c>
      <c r="G62" s="442">
        <f>Backup!F11</f>
        <v>2.7027900000000001E-2</v>
      </c>
      <c r="H62" s="442">
        <f>Backup!G11</f>
        <v>3.9233999999999998E-2</v>
      </c>
      <c r="I62" s="442">
        <f>Backup!H11</f>
        <v>2.3538400000000001E-2</v>
      </c>
      <c r="J62" s="442">
        <f>Backup!I11</f>
        <v>2.2342500000000001E-2</v>
      </c>
      <c r="K62" s="442">
        <f>Backup!J11</f>
        <v>2.5447999999999998E-2</v>
      </c>
      <c r="L62" s="442">
        <f>Backup!K11</f>
        <v>1.8248500000000001E-2</v>
      </c>
      <c r="M62" s="442">
        <f>Backup!L11</f>
        <v>2.3821599999999998E-2</v>
      </c>
      <c r="N62" s="442">
        <f>Backup!M11</f>
        <v>3.0801400000000003E-2</v>
      </c>
      <c r="O62" s="441">
        <f t="shared" si="14"/>
        <v>0.29657299999999998</v>
      </c>
    </row>
    <row r="63" spans="2:17" s="10" customFormat="1">
      <c r="B63" s="442" t="str">
        <f>Backup!A12</f>
        <v>LT II C</v>
      </c>
      <c r="C63" s="442">
        <f>Backup!B12</f>
        <v>0</v>
      </c>
      <c r="D63" s="442">
        <f>Backup!C12</f>
        <v>0</v>
      </c>
      <c r="E63" s="442">
        <f>Backup!D12</f>
        <v>0</v>
      </c>
      <c r="F63" s="442">
        <f>Backup!E12</f>
        <v>0</v>
      </c>
      <c r="G63" s="442">
        <f>Backup!F12</f>
        <v>0</v>
      </c>
      <c r="H63" s="442">
        <f>Backup!G12</f>
        <v>0</v>
      </c>
      <c r="I63" s="442">
        <f>Backup!H12</f>
        <v>0</v>
      </c>
      <c r="J63" s="442">
        <f>Backup!I12</f>
        <v>0</v>
      </c>
      <c r="K63" s="442">
        <f>Backup!J12</f>
        <v>0</v>
      </c>
      <c r="L63" s="442">
        <f>Backup!K12</f>
        <v>0</v>
      </c>
      <c r="M63" s="442">
        <f>Backup!L12</f>
        <v>0</v>
      </c>
      <c r="N63" s="442">
        <f>Backup!M12</f>
        <v>0</v>
      </c>
      <c r="O63" s="441">
        <f t="shared" si="14"/>
        <v>0</v>
      </c>
    </row>
    <row r="64" spans="2:17" s="10" customFormat="1">
      <c r="B64" s="442" t="str">
        <f>Backup!A13</f>
        <v>LT V A</v>
      </c>
      <c r="C64" s="442">
        <f>Backup!B13</f>
        <v>1.5436E-2</v>
      </c>
      <c r="D64" s="442">
        <f>Backup!C13</f>
        <v>2.2708199999999998E-2</v>
      </c>
      <c r="E64" s="442">
        <f>Backup!D13</f>
        <v>2.2202599999999999E-2</v>
      </c>
      <c r="F64" s="442">
        <f>Backup!E13</f>
        <v>2.3484100000000001E-2</v>
      </c>
      <c r="G64" s="442">
        <f>Backup!F13</f>
        <v>2.4043399999999999E-2</v>
      </c>
      <c r="H64" s="442">
        <f>Backup!G13</f>
        <v>2.22341E-2</v>
      </c>
      <c r="I64" s="442">
        <f>Backup!H13</f>
        <v>2.6201899999999993E-2</v>
      </c>
      <c r="J64" s="442">
        <f>Backup!I13</f>
        <v>2.5445099999999998E-2</v>
      </c>
      <c r="K64" s="442">
        <f>Backup!J13</f>
        <v>2.6051200000000004E-2</v>
      </c>
      <c r="L64" s="442">
        <f>Backup!K13</f>
        <v>2.6680999999999996E-2</v>
      </c>
      <c r="M64" s="442">
        <f>Backup!L13</f>
        <v>2.52544E-2</v>
      </c>
      <c r="N64" s="442">
        <f>Backup!M13</f>
        <v>2.9755500000000001E-2</v>
      </c>
      <c r="O64" s="441">
        <f t="shared" si="14"/>
        <v>0.28949749999999996</v>
      </c>
    </row>
    <row r="65" spans="2:18">
      <c r="B65" s="442" t="str">
        <f>Backup!A14</f>
        <v>LT V B</v>
      </c>
      <c r="C65" s="442">
        <f>Backup!B14</f>
        <v>0.32678200000000002</v>
      </c>
      <c r="D65" s="442">
        <f>Backup!C14</f>
        <v>0.467524</v>
      </c>
      <c r="E65" s="442">
        <f>Backup!D14</f>
        <v>0.463868</v>
      </c>
      <c r="F65" s="442">
        <f>Backup!E14</f>
        <v>0.458482</v>
      </c>
      <c r="G65" s="442">
        <f>Backup!F14</f>
        <v>0.50178400000000001</v>
      </c>
      <c r="H65" s="442">
        <f>Backup!G14</f>
        <v>0.56285936999999997</v>
      </c>
      <c r="I65" s="442">
        <f>Backup!H14</f>
        <v>0.56876599999999999</v>
      </c>
      <c r="J65" s="442">
        <f>Backup!I14</f>
        <v>0.54174800000000001</v>
      </c>
      <c r="K65" s="442">
        <f>Backup!J14</f>
        <v>0.55974599999999997</v>
      </c>
      <c r="L65" s="442">
        <f>Backup!K14</f>
        <v>0.54349999999999998</v>
      </c>
      <c r="M65" s="442">
        <f>Backup!L14</f>
        <v>0.54962200000000005</v>
      </c>
      <c r="N65" s="442">
        <f>Backup!M14</f>
        <v>0.61251800000000001</v>
      </c>
      <c r="O65" s="441">
        <f t="shared" si="14"/>
        <v>6.1571993699999998</v>
      </c>
    </row>
    <row r="66" spans="2:18">
      <c r="B66" s="441" t="str">
        <f>Backup!A15</f>
        <v>Total</v>
      </c>
      <c r="C66" s="441">
        <f>SUM(C57:C65)</f>
        <v>5.1851115999999999</v>
      </c>
      <c r="D66" s="441">
        <f t="shared" ref="D66:O66" si="15">SUM(D57:D65)</f>
        <v>7.2114542600000009</v>
      </c>
      <c r="E66" s="441">
        <f t="shared" si="15"/>
        <v>7.036109520000001</v>
      </c>
      <c r="F66" s="441">
        <f t="shared" si="15"/>
        <v>7.3220200000000011</v>
      </c>
      <c r="G66" s="441">
        <f t="shared" si="15"/>
        <v>7.0385308599999998</v>
      </c>
      <c r="H66" s="441">
        <f t="shared" si="15"/>
        <v>7.0450716800000004</v>
      </c>
      <c r="I66" s="441">
        <f t="shared" si="15"/>
        <v>7.5147788500000008</v>
      </c>
      <c r="J66" s="441">
        <f t="shared" si="15"/>
        <v>6.8478620599999989</v>
      </c>
      <c r="K66" s="441">
        <f t="shared" si="15"/>
        <v>6.7416690500000005</v>
      </c>
      <c r="L66" s="441">
        <f t="shared" si="15"/>
        <v>6.2939408000000006</v>
      </c>
      <c r="M66" s="441">
        <f t="shared" si="15"/>
        <v>6.3952530999999997</v>
      </c>
      <c r="N66" s="441">
        <f t="shared" si="15"/>
        <v>7.241261999999999</v>
      </c>
      <c r="O66" s="441">
        <f t="shared" si="15"/>
        <v>81.873063779999995</v>
      </c>
    </row>
    <row r="67" spans="2:18" hidden="1">
      <c r="B67" s="181" t="s">
        <v>450</v>
      </c>
    </row>
    <row r="68" spans="2:18" hidden="1">
      <c r="B68" s="39" t="s">
        <v>451</v>
      </c>
    </row>
    <row r="69" spans="2:18" s="1" customFormat="1" ht="18" hidden="1">
      <c r="B69" s="42" t="s">
        <v>452</v>
      </c>
      <c r="C69" s="44"/>
      <c r="D69" s="44"/>
      <c r="E69" s="44"/>
      <c r="F69" s="44"/>
      <c r="G69" s="16"/>
      <c r="H69" s="16"/>
      <c r="I69" s="16"/>
      <c r="J69" s="16"/>
      <c r="K69" s="16"/>
      <c r="L69" s="16"/>
      <c r="M69" s="16"/>
      <c r="N69" s="16"/>
      <c r="O69" s="16"/>
      <c r="P69" s="43"/>
      <c r="Q69" s="43"/>
    </row>
    <row r="70" spans="2:18" s="1" customFormat="1" ht="18" hidden="1">
      <c r="B70" s="39" t="s">
        <v>578</v>
      </c>
      <c r="C70" s="44"/>
      <c r="D70" s="44"/>
      <c r="E70" s="44"/>
      <c r="F70" s="44"/>
      <c r="G70" s="16"/>
      <c r="H70" s="16"/>
      <c r="I70" s="16"/>
      <c r="J70" s="16"/>
      <c r="K70" s="16"/>
      <c r="L70" s="16"/>
      <c r="M70" s="16"/>
      <c r="N70" s="16"/>
      <c r="O70" s="16"/>
      <c r="P70" s="43"/>
      <c r="Q70" s="43"/>
    </row>
    <row r="71" spans="2:18" s="1" customFormat="1" ht="18">
      <c r="B71" s="39"/>
      <c r="C71" s="44"/>
      <c r="D71" s="44"/>
      <c r="E71" s="44"/>
      <c r="F71" s="44"/>
      <c r="G71" s="16"/>
      <c r="H71" s="16"/>
      <c r="I71" s="16"/>
      <c r="J71" s="16"/>
      <c r="K71" s="16"/>
      <c r="L71" s="16"/>
      <c r="M71" s="16"/>
      <c r="N71" s="16"/>
      <c r="O71" s="16"/>
      <c r="P71" s="43"/>
      <c r="Q71" s="43"/>
    </row>
    <row r="72" spans="2:18" s="1" customFormat="1" ht="18">
      <c r="B72" s="46" t="s">
        <v>682</v>
      </c>
      <c r="C72" s="154"/>
      <c r="D72" s="154"/>
      <c r="E72" s="154"/>
      <c r="F72" s="154"/>
      <c r="G72" s="154"/>
      <c r="H72" s="154"/>
      <c r="I72" s="154"/>
      <c r="J72" s="154"/>
      <c r="K72" s="154"/>
      <c r="L72" s="154"/>
      <c r="M72" s="154"/>
      <c r="N72" s="154"/>
      <c r="O72" s="62"/>
      <c r="P72" s="43"/>
      <c r="Q72" s="43"/>
      <c r="R72" s="59"/>
    </row>
    <row r="73" spans="2:18" s="1" customFormat="1" ht="18">
      <c r="B73" s="46"/>
      <c r="C73" s="52"/>
      <c r="D73" s="52"/>
      <c r="E73" s="155"/>
      <c r="F73" s="155"/>
      <c r="G73" s="155"/>
      <c r="H73" s="155"/>
      <c r="I73" s="155"/>
      <c r="J73" s="155"/>
      <c r="K73" s="155"/>
      <c r="L73" s="155"/>
      <c r="M73" s="155"/>
      <c r="N73" s="155"/>
      <c r="O73" s="52" t="s">
        <v>117</v>
      </c>
      <c r="P73" s="10"/>
      <c r="Q73" s="43"/>
    </row>
    <row r="74" spans="2:18" s="74" customFormat="1" ht="28.5">
      <c r="B74" s="250" t="s">
        <v>266</v>
      </c>
      <c r="C74" s="316" t="s">
        <v>118</v>
      </c>
      <c r="D74" s="316" t="s">
        <v>119</v>
      </c>
      <c r="E74" s="315" t="s">
        <v>120</v>
      </c>
      <c r="F74" s="315" t="s">
        <v>121</v>
      </c>
      <c r="G74" s="315" t="s">
        <v>122</v>
      </c>
      <c r="H74" s="315" t="s">
        <v>123</v>
      </c>
      <c r="I74" s="315" t="s">
        <v>124</v>
      </c>
      <c r="J74" s="315" t="s">
        <v>125</v>
      </c>
      <c r="K74" s="315" t="s">
        <v>126</v>
      </c>
      <c r="L74" s="315" t="s">
        <v>127</v>
      </c>
      <c r="M74" s="315" t="s">
        <v>128</v>
      </c>
      <c r="N74" s="315" t="s">
        <v>129</v>
      </c>
      <c r="O74" s="329" t="s">
        <v>283</v>
      </c>
      <c r="P74" s="54"/>
    </row>
    <row r="75" spans="2:18" s="39" customFormat="1">
      <c r="B75" s="98"/>
      <c r="C75" s="98"/>
      <c r="D75" s="98"/>
      <c r="E75" s="98"/>
      <c r="F75" s="98"/>
      <c r="G75" s="98"/>
      <c r="H75" s="98"/>
      <c r="I75" s="98"/>
      <c r="J75" s="98"/>
      <c r="K75" s="98"/>
      <c r="L75" s="98"/>
      <c r="M75" s="98"/>
      <c r="N75" s="98"/>
      <c r="O75" s="190"/>
      <c r="P75" s="10"/>
    </row>
    <row r="76" spans="2:18" s="10" customFormat="1">
      <c r="B76" s="132" t="str">
        <f>Backup!H20</f>
        <v>HT Category</v>
      </c>
      <c r="C76" s="444"/>
      <c r="D76" s="444"/>
      <c r="E76" s="444"/>
      <c r="F76" s="444"/>
      <c r="G76" s="444"/>
      <c r="H76" s="444"/>
      <c r="I76" s="64"/>
      <c r="J76" s="64"/>
      <c r="K76" s="64"/>
      <c r="L76" s="64"/>
      <c r="M76" s="64"/>
      <c r="N76" s="64"/>
      <c r="O76" s="99"/>
    </row>
    <row r="77" spans="2:18" s="10" customFormat="1">
      <c r="B77" s="148" t="str">
        <f>Backup!H21</f>
        <v>HT I</v>
      </c>
      <c r="C77" s="444">
        <f>Backup!B21</f>
        <v>6.706512</v>
      </c>
      <c r="D77" s="444">
        <f>Backup!C21</f>
        <v>7.2681420000000001</v>
      </c>
      <c r="E77" s="444">
        <f>Backup!D21</f>
        <v>6.8600089999999998</v>
      </c>
      <c r="F77" s="444">
        <f>Backup!E21</f>
        <v>6.2050270000000003</v>
      </c>
      <c r="G77" s="444">
        <f>Backup!F21</f>
        <v>6.4555530000000001</v>
      </c>
      <c r="H77" s="444">
        <f>Backup!G21</f>
        <v>6.0681139999999996</v>
      </c>
      <c r="I77" s="444">
        <f>Backup!I21</f>
        <v>6.1038690000000004</v>
      </c>
      <c r="J77" s="444">
        <f>Backup!J21</f>
        <v>5.7370320000000001</v>
      </c>
      <c r="K77" s="444">
        <f>Backup!K21</f>
        <v>5.8615700000000004</v>
      </c>
      <c r="L77" s="444">
        <f>Backup!L21</f>
        <v>5.6486200000000002</v>
      </c>
      <c r="M77" s="444">
        <f>Backup!M21</f>
        <v>5.4638016</v>
      </c>
      <c r="N77" s="444">
        <f>Backup!N21</f>
        <v>6.4950533900000007</v>
      </c>
      <c r="O77" s="445">
        <f>SUM(C77:N77)</f>
        <v>74.873302989999999</v>
      </c>
    </row>
    <row r="78" spans="2:18" s="10" customFormat="1">
      <c r="B78" s="148" t="str">
        <f>Backup!H22</f>
        <v>HT II</v>
      </c>
      <c r="C78" s="444">
        <f>Backup!B22</f>
        <v>0</v>
      </c>
      <c r="D78" s="444">
        <f>Backup!C22</f>
        <v>0</v>
      </c>
      <c r="E78" s="444">
        <f>Backup!D22</f>
        <v>0</v>
      </c>
      <c r="F78" s="444">
        <f>Backup!E22</f>
        <v>0</v>
      </c>
      <c r="G78" s="444">
        <f>Backup!F22</f>
        <v>0</v>
      </c>
      <c r="H78" s="444">
        <f>Backup!G22</f>
        <v>0</v>
      </c>
      <c r="I78" s="444">
        <f>Backup!I22</f>
        <v>0</v>
      </c>
      <c r="J78" s="444">
        <f>Backup!J22</f>
        <v>0</v>
      </c>
      <c r="K78" s="444">
        <f>Backup!K22</f>
        <v>0</v>
      </c>
      <c r="L78" s="444">
        <f>Backup!L22</f>
        <v>0</v>
      </c>
      <c r="M78" s="444">
        <f>Backup!M22</f>
        <v>0</v>
      </c>
      <c r="N78" s="444">
        <f>Backup!N22</f>
        <v>0</v>
      </c>
      <c r="O78" s="445">
        <f t="shared" ref="O78:O84" si="16">SUM(C78:N78)</f>
        <v>0</v>
      </c>
    </row>
    <row r="79" spans="2:18" s="10" customFormat="1">
      <c r="B79" s="132" t="str">
        <f>Backup!H23</f>
        <v>LT Category</v>
      </c>
      <c r="C79" s="444"/>
      <c r="D79" s="444"/>
      <c r="E79" s="444"/>
      <c r="F79" s="444"/>
      <c r="G79" s="444"/>
      <c r="H79" s="444"/>
      <c r="I79" s="444"/>
      <c r="J79" s="444"/>
      <c r="K79" s="444"/>
      <c r="L79" s="444"/>
      <c r="M79" s="444"/>
      <c r="N79" s="444"/>
      <c r="O79" s="445"/>
    </row>
    <row r="80" spans="2:18" s="10" customFormat="1">
      <c r="B80" s="148" t="str">
        <f>Backup!H24</f>
        <v>LT I (G-P)</v>
      </c>
      <c r="C80" s="444">
        <f>Backup!B24</f>
        <v>0</v>
      </c>
      <c r="D80" s="444">
        <f>Backup!C24</f>
        <v>0</v>
      </c>
      <c r="E80" s="444">
        <f>Backup!D24</f>
        <v>0</v>
      </c>
      <c r="F80" s="444">
        <f>Backup!E24</f>
        <v>0</v>
      </c>
      <c r="G80" s="444">
        <f>Backup!F24</f>
        <v>0</v>
      </c>
      <c r="H80" s="444">
        <f>Backup!G24</f>
        <v>0</v>
      </c>
      <c r="I80" s="444">
        <f>Backup!I24</f>
        <v>0</v>
      </c>
      <c r="J80" s="444">
        <f>Backup!J24</f>
        <v>0</v>
      </c>
      <c r="K80" s="444">
        <f>Backup!K24</f>
        <v>0</v>
      </c>
      <c r="L80" s="444">
        <f>Backup!L24</f>
        <v>0</v>
      </c>
      <c r="M80" s="444">
        <f>Backup!M24</f>
        <v>0</v>
      </c>
      <c r="N80" s="444">
        <f>Backup!N24</f>
        <v>0</v>
      </c>
      <c r="O80" s="445">
        <f t="shared" si="16"/>
        <v>0</v>
      </c>
    </row>
    <row r="81" spans="2:18" s="10" customFormat="1">
      <c r="B81" s="148" t="str">
        <f>Backup!H25</f>
        <v>LT II (A)</v>
      </c>
      <c r="C81" s="444">
        <f>Backup!B25</f>
        <v>1.0271499999999999E-2</v>
      </c>
      <c r="D81" s="444">
        <f>Backup!C25</f>
        <v>1.0396000000000001E-2</v>
      </c>
      <c r="E81" s="444">
        <f>Backup!D25</f>
        <v>1.0264199999999999E-2</v>
      </c>
      <c r="F81" s="444">
        <f>Backup!E25</f>
        <v>8.3601999999999999E-3</v>
      </c>
      <c r="G81" s="444">
        <f>Backup!F25</f>
        <v>9.4656000000000028E-3</v>
      </c>
      <c r="H81" s="444">
        <f>Backup!G25</f>
        <v>9.2980000000000007E-3</v>
      </c>
      <c r="I81" s="444">
        <f>Backup!I25</f>
        <v>4.2045999999999993E-2</v>
      </c>
      <c r="J81" s="444">
        <f>Backup!J25</f>
        <v>4.1515999999999997E-2</v>
      </c>
      <c r="K81" s="444">
        <f>Backup!K25</f>
        <v>4.3755699999999995E-2</v>
      </c>
      <c r="L81" s="444">
        <f>Backup!L25</f>
        <v>4.4017099999999997E-2</v>
      </c>
      <c r="M81" s="444">
        <f>Backup!M25</f>
        <v>3.9927379999999998E-2</v>
      </c>
      <c r="N81" s="444">
        <f>Backup!N25</f>
        <v>4.6844600000000014E-2</v>
      </c>
      <c r="O81" s="445">
        <f t="shared" si="16"/>
        <v>0.31616228000000002</v>
      </c>
    </row>
    <row r="82" spans="2:18" s="10" customFormat="1">
      <c r="B82" s="148" t="str">
        <f>Backup!H26</f>
        <v>LT II (B)</v>
      </c>
      <c r="C82" s="444">
        <f>Backup!B26</f>
        <v>2.64537E-2</v>
      </c>
      <c r="D82" s="444">
        <f>Backup!C26</f>
        <v>2.7427299999999998E-2</v>
      </c>
      <c r="E82" s="444">
        <f>Backup!D26</f>
        <v>2.6085799999999999E-2</v>
      </c>
      <c r="F82" s="444">
        <f>Backup!E26</f>
        <v>2.4583699999999997E-2</v>
      </c>
      <c r="G82" s="444">
        <f>Backup!F26</f>
        <v>3.4242000000000002E-2</v>
      </c>
      <c r="H82" s="444">
        <f>Backup!G26</f>
        <v>3.56543E-2</v>
      </c>
      <c r="I82" s="444">
        <f>Backup!I26</f>
        <v>4.6119500000000001E-2</v>
      </c>
      <c r="J82" s="444">
        <f>Backup!J26</f>
        <v>4.4701300000000006E-2</v>
      </c>
      <c r="K82" s="444">
        <f>Backup!K26</f>
        <v>4.7200499999999999E-2</v>
      </c>
      <c r="L82" s="444">
        <f>Backup!L26</f>
        <v>4.8231999999999997E-2</v>
      </c>
      <c r="M82" s="444">
        <f>Backup!M26</f>
        <v>4.4966800000000001E-2</v>
      </c>
      <c r="N82" s="444">
        <f>Backup!N26</f>
        <v>5.7446300000000006E-2</v>
      </c>
      <c r="O82" s="445">
        <f t="shared" si="16"/>
        <v>0.46311320000000006</v>
      </c>
    </row>
    <row r="83" spans="2:18" s="10" customFormat="1">
      <c r="B83" s="148" t="str">
        <f>Backup!H27</f>
        <v>LT III (A)</v>
      </c>
      <c r="C83" s="444">
        <f>Backup!B27</f>
        <v>2.8980800000000001E-2</v>
      </c>
      <c r="D83" s="444">
        <f>Backup!C27</f>
        <v>3.23453E-2</v>
      </c>
      <c r="E83" s="444">
        <f>Backup!D27</f>
        <v>3.0071899999999999E-2</v>
      </c>
      <c r="F83" s="444">
        <f>Backup!E27</f>
        <v>3.0931099999999996E-2</v>
      </c>
      <c r="G83" s="444">
        <f>Backup!F27</f>
        <v>3.1225900000000004E-2</v>
      </c>
      <c r="H83" s="444">
        <f>Backup!G27</f>
        <v>3.0342000000000001E-2</v>
      </c>
      <c r="I83" s="444">
        <f>Backup!I27</f>
        <v>7.1479999999999992E-4</v>
      </c>
      <c r="J83" s="444">
        <f>Backup!J27</f>
        <v>8.25E-4</v>
      </c>
      <c r="K83" s="444">
        <f>Backup!K27</f>
        <v>6.8529999999999991E-4</v>
      </c>
      <c r="L83" s="444">
        <f>Backup!L27</f>
        <v>6.3710000000000004E-4</v>
      </c>
      <c r="M83" s="444">
        <f>Backup!M27</f>
        <v>5.9410000000000008E-4</v>
      </c>
      <c r="N83" s="444">
        <f>Backup!N27</f>
        <v>6.3739999999999999E-4</v>
      </c>
      <c r="O83" s="445">
        <f t="shared" si="16"/>
        <v>0.18799069999999998</v>
      </c>
    </row>
    <row r="84" spans="2:18">
      <c r="B84" s="148" t="str">
        <f>Backup!H28</f>
        <v>LT III (B)</v>
      </c>
      <c r="C84" s="444">
        <f>Backup!B28</f>
        <v>0.60647899999999999</v>
      </c>
      <c r="D84" s="444">
        <f>Backup!C28</f>
        <v>0.62772499999999998</v>
      </c>
      <c r="E84" s="444">
        <f>Backup!D28</f>
        <v>0.61094499999999996</v>
      </c>
      <c r="F84" s="444">
        <f>Backup!E28</f>
        <v>0.58343800000000001</v>
      </c>
      <c r="G84" s="444">
        <f>Backup!F28</f>
        <v>0.60699599999999998</v>
      </c>
      <c r="H84" s="444">
        <f>Backup!G28</f>
        <v>0.57794299999999998</v>
      </c>
      <c r="I84" s="444">
        <f>Backup!I28</f>
        <v>0.59385900000000003</v>
      </c>
      <c r="J84" s="444">
        <f>Backup!J28</f>
        <v>0.56044799999999995</v>
      </c>
      <c r="K84" s="444">
        <f>Backup!K28</f>
        <v>0.57417399999999996</v>
      </c>
      <c r="L84" s="444">
        <f>Backup!L28</f>
        <v>0.56269599999999997</v>
      </c>
      <c r="M84" s="444">
        <f>Backup!M28</f>
        <v>0.53230057000000008</v>
      </c>
      <c r="N84" s="444">
        <f>Backup!N28</f>
        <v>0.60564600000000002</v>
      </c>
      <c r="O84" s="445">
        <f t="shared" si="16"/>
        <v>7.0426495700000009</v>
      </c>
      <c r="P84" s="10"/>
    </row>
    <row r="85" spans="2:18">
      <c r="B85" s="132" t="s">
        <v>115</v>
      </c>
      <c r="C85" s="443">
        <f>SUM(C77:C84)</f>
        <v>7.3786970000000007</v>
      </c>
      <c r="D85" s="443">
        <f t="shared" ref="D85:O85" si="17">SUM(D77:D84)</f>
        <v>7.9660356000000005</v>
      </c>
      <c r="E85" s="443">
        <f t="shared" si="17"/>
        <v>7.5373758999999998</v>
      </c>
      <c r="F85" s="443">
        <f t="shared" si="17"/>
        <v>6.8523400000000008</v>
      </c>
      <c r="G85" s="443">
        <f t="shared" si="17"/>
        <v>7.1374825</v>
      </c>
      <c r="H85" s="443">
        <f t="shared" si="17"/>
        <v>6.7213513000000003</v>
      </c>
      <c r="I85" s="443">
        <f t="shared" si="17"/>
        <v>6.7866083000000001</v>
      </c>
      <c r="J85" s="443">
        <f t="shared" si="17"/>
        <v>6.3845222999999995</v>
      </c>
      <c r="K85" s="443">
        <f t="shared" si="17"/>
        <v>6.5273855000000003</v>
      </c>
      <c r="L85" s="443">
        <f t="shared" si="17"/>
        <v>6.3042021999999989</v>
      </c>
      <c r="M85" s="443">
        <f t="shared" si="17"/>
        <v>6.0815904500000002</v>
      </c>
      <c r="N85" s="443">
        <f t="shared" si="17"/>
        <v>7.20562769</v>
      </c>
      <c r="O85" s="443">
        <f t="shared" si="17"/>
        <v>82.88321873999999</v>
      </c>
      <c r="P85" s="10"/>
    </row>
    <row r="86" spans="2:18" s="1" customFormat="1">
      <c r="B86" s="181"/>
      <c r="C86" s="155"/>
      <c r="D86" s="155"/>
      <c r="E86" s="326"/>
      <c r="F86" s="327"/>
      <c r="G86" s="326"/>
      <c r="H86" s="326"/>
      <c r="I86" s="326"/>
      <c r="J86" s="326"/>
      <c r="K86" s="326"/>
      <c r="L86" s="326"/>
      <c r="M86" s="326"/>
      <c r="N86" s="326"/>
      <c r="O86" s="328"/>
      <c r="P86" s="10"/>
    </row>
    <row r="87" spans="2:18" s="1" customFormat="1" hidden="1">
      <c r="B87" s="181" t="s">
        <v>450</v>
      </c>
      <c r="C87" s="155"/>
      <c r="D87" s="155"/>
      <c r="E87" s="326"/>
      <c r="F87" s="327"/>
      <c r="G87" s="326"/>
      <c r="H87" s="326"/>
      <c r="I87" s="326"/>
      <c r="J87" s="326"/>
      <c r="K87" s="326"/>
      <c r="L87" s="326"/>
      <c r="M87" s="326"/>
      <c r="N87" s="326"/>
      <c r="O87" s="328"/>
      <c r="P87" s="10"/>
    </row>
    <row r="88" spans="2:18" s="1" customFormat="1" hidden="1">
      <c r="B88" s="39" t="s">
        <v>451</v>
      </c>
      <c r="C88" s="155"/>
      <c r="D88" s="155"/>
      <c r="E88" s="326"/>
      <c r="F88" s="327"/>
      <c r="G88" s="326"/>
      <c r="H88" s="326"/>
      <c r="I88" s="326"/>
      <c r="J88" s="326"/>
      <c r="K88" s="326"/>
      <c r="L88" s="326"/>
      <c r="M88" s="326"/>
      <c r="N88" s="326"/>
      <c r="O88" s="328"/>
      <c r="P88" s="10"/>
    </row>
    <row r="89" spans="2:18" s="1" customFormat="1" hidden="1">
      <c r="B89" s="42" t="s">
        <v>452</v>
      </c>
      <c r="C89" s="155"/>
      <c r="D89" s="155"/>
      <c r="E89" s="326"/>
      <c r="F89" s="327"/>
      <c r="G89" s="326"/>
      <c r="H89" s="326"/>
      <c r="I89" s="326"/>
      <c r="J89" s="326"/>
      <c r="K89" s="326"/>
      <c r="L89" s="326"/>
      <c r="M89" s="326"/>
      <c r="N89" s="326"/>
      <c r="O89" s="328"/>
      <c r="P89" s="10"/>
    </row>
    <row r="90" spans="2:18" s="1" customFormat="1" hidden="1">
      <c r="B90" s="39" t="s">
        <v>578</v>
      </c>
      <c r="C90" s="155"/>
      <c r="D90" s="155"/>
      <c r="E90" s="326"/>
      <c r="F90" s="327"/>
      <c r="G90" s="326"/>
      <c r="H90" s="326"/>
      <c r="I90" s="326"/>
      <c r="J90" s="326"/>
      <c r="K90" s="326"/>
      <c r="L90" s="326"/>
      <c r="M90" s="326"/>
      <c r="N90" s="326"/>
      <c r="O90" s="328"/>
      <c r="P90" s="10"/>
    </row>
    <row r="91" spans="2:18" s="1" customFormat="1">
      <c r="B91" s="39"/>
      <c r="C91" s="155"/>
      <c r="D91" s="155"/>
      <c r="E91" s="326"/>
      <c r="F91" s="327"/>
      <c r="G91" s="326"/>
      <c r="H91" s="326"/>
      <c r="I91" s="326"/>
      <c r="J91" s="326"/>
      <c r="K91" s="326"/>
      <c r="L91" s="326"/>
      <c r="M91" s="326"/>
      <c r="N91" s="326"/>
      <c r="O91" s="328"/>
      <c r="P91" s="10"/>
    </row>
    <row r="92" spans="2:18" s="1" customFormat="1" ht="18">
      <c r="B92" s="46" t="s">
        <v>1308</v>
      </c>
      <c r="C92" s="154"/>
      <c r="D92" s="154"/>
      <c r="E92" s="154"/>
      <c r="F92" s="154"/>
      <c r="G92" s="154"/>
      <c r="H92" s="154"/>
      <c r="I92" s="154"/>
      <c r="J92" s="154"/>
      <c r="K92" s="154"/>
      <c r="L92" s="154"/>
      <c r="M92" s="154"/>
      <c r="N92" s="154"/>
      <c r="O92" s="62"/>
      <c r="P92" s="43"/>
      <c r="Q92" s="43"/>
      <c r="R92" s="59"/>
    </row>
    <row r="93" spans="2:18" s="1" customFormat="1" ht="18">
      <c r="B93" s="46"/>
      <c r="C93" s="52"/>
      <c r="D93" s="52"/>
      <c r="E93" s="155"/>
      <c r="F93" s="155"/>
      <c r="G93" s="155"/>
      <c r="H93" s="155"/>
      <c r="I93" s="155"/>
      <c r="J93" s="155"/>
      <c r="K93" s="155"/>
      <c r="L93" s="155"/>
      <c r="M93" s="155"/>
      <c r="N93" s="155"/>
      <c r="O93" s="52" t="s">
        <v>117</v>
      </c>
      <c r="P93" s="10"/>
      <c r="Q93" s="43"/>
    </row>
    <row r="94" spans="2:18" s="87" customFormat="1" ht="18">
      <c r="B94" s="1365" t="s">
        <v>266</v>
      </c>
      <c r="C94" s="1377" t="s">
        <v>12</v>
      </c>
      <c r="D94" s="1378"/>
      <c r="E94" s="1378"/>
      <c r="F94" s="1378"/>
      <c r="G94" s="1378"/>
      <c r="H94" s="1378"/>
      <c r="I94" s="1378"/>
      <c r="J94" s="1378"/>
      <c r="K94" s="1378"/>
      <c r="L94" s="1378"/>
      <c r="M94" s="1378"/>
      <c r="N94" s="1379"/>
      <c r="O94" s="1376" t="s">
        <v>1311</v>
      </c>
      <c r="P94" s="54"/>
      <c r="Q94" s="192"/>
      <c r="R94" s="192"/>
    </row>
    <row r="95" spans="2:18" s="74" customFormat="1">
      <c r="B95" s="1365"/>
      <c r="C95" s="168" t="s">
        <v>118</v>
      </c>
      <c r="D95" s="168" t="s">
        <v>119</v>
      </c>
      <c r="E95" s="97" t="s">
        <v>120</v>
      </c>
      <c r="F95" s="97" t="s">
        <v>121</v>
      </c>
      <c r="G95" s="97" t="s">
        <v>122</v>
      </c>
      <c r="H95" s="97" t="s">
        <v>123</v>
      </c>
      <c r="I95" s="97" t="s">
        <v>124</v>
      </c>
      <c r="J95" s="97" t="s">
        <v>125</v>
      </c>
      <c r="K95" s="97" t="s">
        <v>126</v>
      </c>
      <c r="L95" s="97" t="s">
        <v>127</v>
      </c>
      <c r="M95" s="97" t="s">
        <v>128</v>
      </c>
      <c r="N95" s="97" t="s">
        <v>129</v>
      </c>
      <c r="O95" s="1376"/>
      <c r="P95" s="54"/>
    </row>
    <row r="96" spans="2:18" s="39" customFormat="1">
      <c r="B96" s="98"/>
      <c r="C96" s="98"/>
      <c r="D96" s="98"/>
      <c r="E96" s="98"/>
      <c r="F96" s="98"/>
      <c r="G96" s="98"/>
      <c r="H96" s="98"/>
      <c r="I96" s="98"/>
      <c r="J96" s="98"/>
      <c r="K96" s="98"/>
      <c r="L96" s="98"/>
      <c r="M96" s="98"/>
      <c r="N96" s="98"/>
      <c r="O96" s="190"/>
      <c r="P96" s="10"/>
    </row>
    <row r="97" spans="2:17" s="10" customFormat="1">
      <c r="B97" s="446" t="str">
        <f>Backup!A34</f>
        <v>HT Category</v>
      </c>
      <c r="C97" s="447"/>
      <c r="D97" s="447"/>
      <c r="E97" s="447"/>
      <c r="F97" s="447"/>
      <c r="G97" s="447"/>
      <c r="H97" s="447"/>
      <c r="I97" s="447"/>
      <c r="J97" s="447"/>
      <c r="K97" s="447"/>
      <c r="L97" s="447"/>
      <c r="M97" s="447"/>
      <c r="N97" s="447"/>
      <c r="O97" s="99"/>
    </row>
    <row r="98" spans="2:17" s="10" customFormat="1">
      <c r="B98" s="447" t="str">
        <f>Backup!A35</f>
        <v>HT I</v>
      </c>
      <c r="C98" s="447">
        <f>Backup!B35</f>
        <v>6.5955370000000002</v>
      </c>
      <c r="D98" s="447">
        <f>Backup!C35</f>
        <v>7.2064750000000002</v>
      </c>
      <c r="E98" s="447">
        <f>Backup!D35</f>
        <v>6.5309400000000002</v>
      </c>
      <c r="F98" s="447">
        <f>Backup!E35</f>
        <v>6.7411620000000001</v>
      </c>
      <c r="G98" s="447">
        <f>Backup!F35</f>
        <v>6.3565365999999992</v>
      </c>
      <c r="H98" s="447">
        <f>Backup!G35</f>
        <v>6.3051075999999995</v>
      </c>
      <c r="I98" s="447">
        <f>Backup!H35</f>
        <v>6.4423884000000005</v>
      </c>
      <c r="J98" s="447">
        <f>Backup!I35</f>
        <v>5.8724343000000001</v>
      </c>
      <c r="K98" s="447">
        <f>Backup!J35</f>
        <v>5.6266949000000004</v>
      </c>
      <c r="L98" s="447">
        <f>Backup!K35</f>
        <v>5.7059571000000018</v>
      </c>
      <c r="M98" s="447">
        <f>Backup!L35</f>
        <v>5.4190079299999994</v>
      </c>
      <c r="N98" s="447">
        <f>Backup!M35</f>
        <v>6.4635143299999998</v>
      </c>
      <c r="O98" s="449">
        <f>SUM(C98:N98)</f>
        <v>75.265755159999998</v>
      </c>
    </row>
    <row r="99" spans="2:17" s="10" customFormat="1">
      <c r="B99" s="447" t="str">
        <f>Backup!A36</f>
        <v>HT II</v>
      </c>
      <c r="C99" s="447">
        <f>Backup!B36</f>
        <v>0</v>
      </c>
      <c r="D99" s="447">
        <f>Backup!C36</f>
        <v>0</v>
      </c>
      <c r="E99" s="447">
        <f>Backup!D36</f>
        <v>0</v>
      </c>
      <c r="F99" s="447">
        <f>Backup!E36</f>
        <v>0</v>
      </c>
      <c r="G99" s="447">
        <f>Backup!F36</f>
        <v>0</v>
      </c>
      <c r="H99" s="447">
        <f>Backup!G36</f>
        <v>0</v>
      </c>
      <c r="I99" s="447">
        <f>Backup!H36</f>
        <v>0</v>
      </c>
      <c r="J99" s="447">
        <f>Backup!I36</f>
        <v>0</v>
      </c>
      <c r="K99" s="447">
        <f>Backup!J36</f>
        <v>0</v>
      </c>
      <c r="L99" s="447">
        <f>Backup!K36</f>
        <v>0</v>
      </c>
      <c r="M99" s="447">
        <f>Backup!L36</f>
        <v>0</v>
      </c>
      <c r="N99" s="447">
        <f>Backup!M36</f>
        <v>0</v>
      </c>
      <c r="O99" s="449">
        <f t="shared" ref="O99" si="18">SUM(C99:N99)</f>
        <v>0</v>
      </c>
    </row>
    <row r="100" spans="2:17" s="10" customFormat="1">
      <c r="B100" s="446" t="str">
        <f>Backup!A37</f>
        <v>LT Category</v>
      </c>
      <c r="C100" s="447"/>
      <c r="D100" s="447"/>
      <c r="E100" s="447"/>
      <c r="F100" s="447"/>
      <c r="G100" s="447"/>
      <c r="H100" s="447"/>
      <c r="I100" s="447"/>
      <c r="J100" s="447"/>
      <c r="K100" s="447"/>
      <c r="L100" s="447"/>
      <c r="M100" s="447"/>
      <c r="N100" s="447"/>
      <c r="O100" s="99"/>
    </row>
    <row r="101" spans="2:17" s="10" customFormat="1">
      <c r="B101" s="447" t="str">
        <f>Backup!A38</f>
        <v>LT I (G-P)</v>
      </c>
      <c r="C101" s="447">
        <f>Backup!B38</f>
        <v>0</v>
      </c>
      <c r="D101" s="447">
        <f>Backup!C38</f>
        <v>0</v>
      </c>
      <c r="E101" s="447">
        <f>Backup!D38</f>
        <v>0</v>
      </c>
      <c r="F101" s="447">
        <f>Backup!E38</f>
        <v>0</v>
      </c>
      <c r="G101" s="447">
        <f>Backup!F38</f>
        <v>0</v>
      </c>
      <c r="H101" s="447">
        <f>Backup!G38</f>
        <v>0</v>
      </c>
      <c r="I101" s="447">
        <f>Backup!H38</f>
        <v>0</v>
      </c>
      <c r="J101" s="447">
        <f>Backup!I38</f>
        <v>0</v>
      </c>
      <c r="K101" s="447">
        <f>Backup!J38</f>
        <v>0</v>
      </c>
      <c r="L101" s="447">
        <f>Backup!K38</f>
        <v>0</v>
      </c>
      <c r="M101" s="447">
        <f>Backup!L38</f>
        <v>0</v>
      </c>
      <c r="N101" s="447">
        <f>Backup!M38</f>
        <v>0</v>
      </c>
      <c r="O101" s="449">
        <f t="shared" ref="O101:O105" si="19">SUM(C101:N101)</f>
        <v>0</v>
      </c>
    </row>
    <row r="102" spans="2:17" s="10" customFormat="1">
      <c r="B102" s="447" t="str">
        <f>Backup!A39</f>
        <v>LT II (A)</v>
      </c>
      <c r="C102" s="447">
        <f>Backup!B39</f>
        <v>4.8169400000000001E-2</v>
      </c>
      <c r="D102" s="447">
        <f>Backup!C39</f>
        <v>5.1277800000000005E-2</v>
      </c>
      <c r="E102" s="447">
        <f>Backup!D39</f>
        <v>4.6502300000000003E-2</v>
      </c>
      <c r="F102" s="447">
        <f>Backup!E39</f>
        <v>4.5982400000000007E-2</v>
      </c>
      <c r="G102" s="447">
        <f>Backup!F39</f>
        <v>4.9305200000000007E-2</v>
      </c>
      <c r="H102" s="447">
        <f>Backup!G39</f>
        <v>4.9558689999999989E-2</v>
      </c>
      <c r="I102" s="447">
        <f>Backup!H39</f>
        <v>5.5936839999999995E-2</v>
      </c>
      <c r="J102" s="447">
        <f>Backup!I39</f>
        <v>5.4582799999999987E-2</v>
      </c>
      <c r="K102" s="447">
        <f>Backup!J39</f>
        <v>5.6597349999999998E-2</v>
      </c>
      <c r="L102" s="447">
        <f>Backup!K39</f>
        <v>5.6864020000000001E-2</v>
      </c>
      <c r="M102" s="447">
        <f>Backup!L39</f>
        <v>5.396076000000001E-2</v>
      </c>
      <c r="N102" s="447">
        <f>Backup!M39</f>
        <v>6.3030940000000008E-2</v>
      </c>
      <c r="O102" s="449">
        <f t="shared" si="19"/>
        <v>0.63176849999999996</v>
      </c>
    </row>
    <row r="103" spans="2:17" s="10" customFormat="1">
      <c r="B103" s="447" t="str">
        <f>Backup!A40</f>
        <v>LT II (B)</v>
      </c>
      <c r="C103" s="447">
        <f>Backup!B40</f>
        <v>5.1265299999999993E-2</v>
      </c>
      <c r="D103" s="447">
        <f>Backup!C40</f>
        <v>6.0228199999999996E-2</v>
      </c>
      <c r="E103" s="447">
        <f>Backup!D40</f>
        <v>2.8201E-2</v>
      </c>
      <c r="F103" s="447">
        <f>Backup!E40</f>
        <v>3.2780400000000001E-2</v>
      </c>
      <c r="G103" s="447">
        <f>Backup!F40</f>
        <v>3.2915550000000002E-2</v>
      </c>
      <c r="H103" s="447">
        <f>Backup!G40</f>
        <v>2.4982569999999999E-2</v>
      </c>
      <c r="I103" s="447">
        <f>Backup!H40</f>
        <v>2.6751709999999998E-2</v>
      </c>
      <c r="J103" s="447">
        <f>Backup!I40</f>
        <v>2.1349799999999999E-2</v>
      </c>
      <c r="K103" s="447">
        <f>Backup!J40</f>
        <v>2.1438670000000003E-2</v>
      </c>
      <c r="L103" s="447">
        <f>Backup!K40</f>
        <v>2.3040410000000004E-2</v>
      </c>
      <c r="M103" s="447">
        <f>Backup!L40</f>
        <v>2.3257169999999997E-2</v>
      </c>
      <c r="N103" s="447">
        <f>Backup!M40</f>
        <v>2.8573219999999996E-2</v>
      </c>
      <c r="O103" s="449">
        <f t="shared" si="19"/>
        <v>0.37478400000000001</v>
      </c>
    </row>
    <row r="104" spans="2:17" s="10" customFormat="1">
      <c r="B104" s="447" t="str">
        <f>Backup!A41</f>
        <v>LT III (A)</v>
      </c>
      <c r="C104" s="447">
        <f>Backup!B41</f>
        <v>5.7300000000000005E-4</v>
      </c>
      <c r="D104" s="447">
        <f>Backup!C41</f>
        <v>5.909E-4</v>
      </c>
      <c r="E104" s="447">
        <f>Backup!D41</f>
        <v>6.1339999999999995E-4</v>
      </c>
      <c r="F104" s="447">
        <f>Backup!E41</f>
        <v>6.6760000000000007E-4</v>
      </c>
      <c r="G104" s="447">
        <f>Backup!F41</f>
        <v>5.9570000000000001E-4</v>
      </c>
      <c r="H104" s="447">
        <f>Backup!G41</f>
        <v>5.1999999999999995E-4</v>
      </c>
      <c r="I104" s="447">
        <f>Backup!H41</f>
        <v>4.9609999999999997E-4</v>
      </c>
      <c r="J104" s="447">
        <f>Backup!I41</f>
        <v>4.4189999999999995E-4</v>
      </c>
      <c r="K104" s="447">
        <f>Backup!J41</f>
        <v>4.7029999999999999E-4</v>
      </c>
      <c r="L104" s="447">
        <f>Backup!K41</f>
        <v>4.2260000000000003E-4</v>
      </c>
      <c r="M104" s="447">
        <f>Backup!L41</f>
        <v>4.103E-4</v>
      </c>
      <c r="N104" s="447">
        <f>Backup!M41</f>
        <v>4.3739999999999995E-4</v>
      </c>
      <c r="O104" s="449">
        <f t="shared" si="19"/>
        <v>6.2392000000000003E-3</v>
      </c>
    </row>
    <row r="105" spans="2:17">
      <c r="B105" s="447" t="str">
        <f>Backup!A42</f>
        <v>LT III (B)</v>
      </c>
      <c r="C105" s="447">
        <f>Backup!B42</f>
        <v>0.59220399999999995</v>
      </c>
      <c r="D105" s="447">
        <f>Backup!C42</f>
        <v>0.63248199999999999</v>
      </c>
      <c r="E105" s="447">
        <f>Backup!D42</f>
        <v>0.63260000000000005</v>
      </c>
      <c r="F105" s="447">
        <f>Backup!E42</f>
        <v>0.62267428000000002</v>
      </c>
      <c r="G105" s="447">
        <f>Backup!F42</f>
        <v>0.61777400000000005</v>
      </c>
      <c r="H105" s="447">
        <f>Backup!G42</f>
        <v>0.60780000000000001</v>
      </c>
      <c r="I105" s="447">
        <f>Backup!H42</f>
        <v>0.59256600000000004</v>
      </c>
      <c r="J105" s="447">
        <f>Backup!I42</f>
        <v>0.57393400000000006</v>
      </c>
      <c r="K105" s="447">
        <f>Backup!J42</f>
        <v>0.56000799999999995</v>
      </c>
      <c r="L105" s="447">
        <f>Backup!K42</f>
        <v>0.56467800000000001</v>
      </c>
      <c r="M105" s="447">
        <f>Backup!L42</f>
        <v>0.5278328000000001</v>
      </c>
      <c r="N105" s="447">
        <f>Backup!M42</f>
        <v>0.604132</v>
      </c>
      <c r="O105" s="449">
        <f t="shared" si="19"/>
        <v>7.1286850800000003</v>
      </c>
      <c r="P105" s="10"/>
    </row>
    <row r="106" spans="2:17">
      <c r="B106" s="132" t="s">
        <v>115</v>
      </c>
      <c r="C106" s="449">
        <f t="shared" ref="C106:N106" si="20">SUM(C98:C105)</f>
        <v>7.2877486999999999</v>
      </c>
      <c r="D106" s="449">
        <f t="shared" si="20"/>
        <v>7.9510538999999998</v>
      </c>
      <c r="E106" s="449">
        <f t="shared" si="20"/>
        <v>7.2388567000000004</v>
      </c>
      <c r="F106" s="449">
        <f t="shared" si="20"/>
        <v>7.4432666799999998</v>
      </c>
      <c r="G106" s="449">
        <f t="shared" si="20"/>
        <v>7.0571270499999992</v>
      </c>
      <c r="H106" s="449">
        <f t="shared" si="20"/>
        <v>6.9879688599999987</v>
      </c>
      <c r="I106" s="449">
        <f t="shared" si="20"/>
        <v>7.1181390500000008</v>
      </c>
      <c r="J106" s="449">
        <f t="shared" si="20"/>
        <v>6.5227428000000014</v>
      </c>
      <c r="K106" s="449">
        <f t="shared" si="20"/>
        <v>6.26520922</v>
      </c>
      <c r="L106" s="449">
        <f t="shared" si="20"/>
        <v>6.3509621300000019</v>
      </c>
      <c r="M106" s="449">
        <f t="shared" si="20"/>
        <v>6.0244689600000001</v>
      </c>
      <c r="N106" s="449">
        <f t="shared" si="20"/>
        <v>7.1596878899999998</v>
      </c>
      <c r="O106" s="449">
        <f>SUM(O98:O105)</f>
        <v>83.407231940000003</v>
      </c>
      <c r="P106" s="10"/>
    </row>
    <row r="107" spans="2:17">
      <c r="B107" s="309"/>
      <c r="C107" s="1223"/>
      <c r="D107" s="1223"/>
      <c r="E107" s="1223"/>
      <c r="F107" s="1223"/>
      <c r="G107" s="1223"/>
      <c r="H107" s="1223"/>
      <c r="I107" s="1223"/>
      <c r="J107" s="1223"/>
      <c r="K107" s="1223"/>
      <c r="L107" s="1223"/>
      <c r="M107" s="1223"/>
      <c r="N107" s="1223"/>
      <c r="O107" s="1223"/>
      <c r="P107" s="10"/>
    </row>
    <row r="108" spans="2:17">
      <c r="B108" s="181" t="s">
        <v>450</v>
      </c>
    </row>
    <row r="109" spans="2:17">
      <c r="B109" s="39" t="s">
        <v>451</v>
      </c>
    </row>
    <row r="110" spans="2:17" s="1" customFormat="1" ht="18">
      <c r="B110" s="42" t="s">
        <v>452</v>
      </c>
      <c r="C110" s="44"/>
      <c r="D110" s="44"/>
      <c r="E110" s="44"/>
      <c r="F110" s="44"/>
      <c r="G110" s="16"/>
      <c r="H110" s="16"/>
      <c r="I110" s="16"/>
      <c r="J110" s="16"/>
      <c r="K110" s="16"/>
      <c r="L110" s="16"/>
      <c r="M110" s="16"/>
      <c r="N110" s="16"/>
      <c r="O110" s="16"/>
      <c r="P110" s="43"/>
      <c r="Q110" s="43"/>
    </row>
    <row r="111" spans="2:17" s="1" customFormat="1" ht="18">
      <c r="B111" s="39" t="s">
        <v>578</v>
      </c>
      <c r="C111" s="44"/>
      <c r="D111" s="44"/>
      <c r="E111" s="44"/>
      <c r="F111" s="44"/>
      <c r="G111" s="16"/>
      <c r="H111" s="16"/>
      <c r="I111" s="16"/>
      <c r="J111" s="16"/>
      <c r="K111" s="16"/>
      <c r="L111" s="16"/>
      <c r="M111" s="16"/>
      <c r="N111" s="16"/>
      <c r="O111" s="16"/>
      <c r="P111" s="43"/>
      <c r="Q111" s="43"/>
    </row>
    <row r="113" spans="2:18" s="1" customFormat="1">
      <c r="B113" s="181"/>
      <c r="C113" s="155"/>
      <c r="D113" s="155"/>
      <c r="E113" s="326"/>
      <c r="F113" s="327"/>
      <c r="G113" s="326"/>
      <c r="H113" s="326"/>
      <c r="I113" s="326"/>
      <c r="J113" s="326"/>
      <c r="K113" s="326"/>
      <c r="L113" s="326"/>
      <c r="M113" s="326"/>
      <c r="N113" s="326"/>
      <c r="O113" s="328"/>
      <c r="P113" s="10"/>
    </row>
    <row r="114" spans="2:18" s="1" customFormat="1" ht="18">
      <c r="B114" s="46" t="s">
        <v>684</v>
      </c>
      <c r="C114" s="154"/>
      <c r="D114" s="154"/>
      <c r="E114" s="154"/>
      <c r="F114" s="154"/>
      <c r="G114" s="154"/>
      <c r="H114" s="154"/>
      <c r="I114" s="154"/>
      <c r="J114" s="154"/>
      <c r="K114" s="154"/>
      <c r="L114" s="154"/>
      <c r="M114" s="154"/>
      <c r="N114" s="154"/>
      <c r="O114" s="62"/>
      <c r="P114" s="43"/>
      <c r="Q114" s="43"/>
      <c r="R114" s="59"/>
    </row>
    <row r="115" spans="2:18" s="1" customFormat="1" ht="18">
      <c r="B115" s="46"/>
      <c r="C115" s="52"/>
      <c r="D115" s="52"/>
      <c r="E115" s="155"/>
      <c r="F115" s="155"/>
      <c r="G115" s="155"/>
      <c r="H115" s="155"/>
      <c r="I115" s="155"/>
      <c r="J115" s="155"/>
      <c r="K115" s="155"/>
      <c r="L115" s="155"/>
      <c r="M115" s="155"/>
      <c r="N115" s="155"/>
      <c r="O115" s="52" t="s">
        <v>117</v>
      </c>
      <c r="P115" s="10"/>
      <c r="Q115" s="43"/>
    </row>
    <row r="116" spans="2:18" s="74" customFormat="1" ht="36" customHeight="1">
      <c r="B116" s="269" t="s">
        <v>266</v>
      </c>
      <c r="C116" s="316" t="s">
        <v>118</v>
      </c>
      <c r="D116" s="316" t="s">
        <v>119</v>
      </c>
      <c r="E116" s="315" t="s">
        <v>120</v>
      </c>
      <c r="F116" s="315" t="s">
        <v>121</v>
      </c>
      <c r="G116" s="315" t="s">
        <v>122</v>
      </c>
      <c r="H116" s="315" t="s">
        <v>123</v>
      </c>
      <c r="I116" s="315" t="s">
        <v>124</v>
      </c>
      <c r="J116" s="315" t="s">
        <v>125</v>
      </c>
      <c r="K116" s="315" t="s">
        <v>126</v>
      </c>
      <c r="L116" s="315" t="s">
        <v>127</v>
      </c>
      <c r="M116" s="315" t="s">
        <v>128</v>
      </c>
      <c r="N116" s="315" t="s">
        <v>129</v>
      </c>
      <c r="O116" s="329" t="s">
        <v>283</v>
      </c>
      <c r="P116" s="54"/>
    </row>
    <row r="117" spans="2:18" s="39" customFormat="1">
      <c r="B117" s="98"/>
      <c r="C117" s="98"/>
      <c r="D117" s="98"/>
      <c r="E117" s="98"/>
      <c r="F117" s="98"/>
      <c r="G117" s="98"/>
      <c r="H117" s="98"/>
      <c r="I117" s="98"/>
      <c r="J117" s="98"/>
      <c r="K117" s="98"/>
      <c r="L117" s="98"/>
      <c r="M117" s="98"/>
      <c r="N117" s="98"/>
      <c r="O117" s="190"/>
      <c r="P117" s="10"/>
    </row>
    <row r="118" spans="2:18" s="54" customFormat="1">
      <c r="B118" s="1214" t="str">
        <f>Backup!A48</f>
        <v>HT Category</v>
      </c>
      <c r="C118" s="1215"/>
      <c r="D118" s="1215"/>
      <c r="E118" s="1215"/>
      <c r="F118" s="1215"/>
      <c r="G118" s="1215"/>
      <c r="H118" s="1215"/>
      <c r="I118" s="1215"/>
      <c r="J118" s="1215"/>
      <c r="K118" s="1215"/>
      <c r="L118" s="1215"/>
      <c r="M118" s="1215"/>
      <c r="N118" s="1215"/>
      <c r="O118" s="367"/>
    </row>
    <row r="119" spans="2:18" s="54" customFormat="1">
      <c r="B119" s="1215" t="str">
        <f>Backup!A49</f>
        <v>HT I</v>
      </c>
      <c r="C119" s="1215">
        <f>Backup!B49</f>
        <v>6.9614923700000002</v>
      </c>
      <c r="D119" s="1215">
        <f>Backup!C49</f>
        <v>7.57853975</v>
      </c>
      <c r="E119" s="1215">
        <f>Backup!D49</f>
        <v>6.8962494000000003</v>
      </c>
      <c r="F119" s="1215">
        <f>Backup!E49</f>
        <v>7.1085736199999996</v>
      </c>
      <c r="G119" s="1215">
        <f>Backup!F49</f>
        <v>6.7201019659999988</v>
      </c>
      <c r="H119" s="1215">
        <f>Backup!G49</f>
        <v>6.6681586759999991</v>
      </c>
      <c r="I119" s="1215">
        <f>Backup!H49</f>
        <v>6.8068122840000003</v>
      </c>
      <c r="J119" s="1215">
        <f>Backup!I49</f>
        <v>6.2311586429999997</v>
      </c>
      <c r="K119" s="1215">
        <f>Backup!J49</f>
        <v>5.9829618490000005</v>
      </c>
      <c r="L119" s="1215">
        <f>Backup!K49</f>
        <v>6.0630166710000015</v>
      </c>
      <c r="M119" s="1215">
        <f>Backup!L49</f>
        <v>5.7731980092999988</v>
      </c>
      <c r="N119" s="1215">
        <f>Backup!M49</f>
        <v>6.8281494732999999</v>
      </c>
      <c r="O119" s="1216">
        <f>SUM(C119:N119)</f>
        <v>79.618412711600016</v>
      </c>
    </row>
    <row r="120" spans="2:18" s="54" customFormat="1">
      <c r="B120" s="1215" t="str">
        <f>Backup!A50</f>
        <v>HT II</v>
      </c>
      <c r="C120" s="1215">
        <f>Backup!B50</f>
        <v>0</v>
      </c>
      <c r="D120" s="1215">
        <f>Backup!C50</f>
        <v>0</v>
      </c>
      <c r="E120" s="1215">
        <f>Backup!D50</f>
        <v>0.5</v>
      </c>
      <c r="F120" s="1215">
        <f>Backup!E50</f>
        <v>0.5</v>
      </c>
      <c r="G120" s="1215">
        <f>Backup!F50</f>
        <v>0.5</v>
      </c>
      <c r="H120" s="1215">
        <f>Backup!G50</f>
        <v>0.5</v>
      </c>
      <c r="I120" s="1215">
        <f>Backup!H50</f>
        <v>0.5</v>
      </c>
      <c r="J120" s="1215">
        <f>Backup!I50</f>
        <v>0.5</v>
      </c>
      <c r="K120" s="1215">
        <f>Backup!J50</f>
        <v>0.5</v>
      </c>
      <c r="L120" s="1215">
        <f>Backup!K50</f>
        <v>0.5</v>
      </c>
      <c r="M120" s="1215">
        <f>Backup!L50</f>
        <v>0.5</v>
      </c>
      <c r="N120" s="1215">
        <f>Backup!M50</f>
        <v>0.5</v>
      </c>
      <c r="O120" s="1216">
        <f t="shared" ref="O120:O126" si="21">SUM(C120:N120)</f>
        <v>5</v>
      </c>
    </row>
    <row r="121" spans="2:18" s="54" customFormat="1">
      <c r="B121" s="1214" t="str">
        <f>Backup!A51</f>
        <v>LT Category</v>
      </c>
      <c r="C121" s="1215"/>
      <c r="D121" s="1215"/>
      <c r="E121" s="1215"/>
      <c r="F121" s="1215"/>
      <c r="G121" s="1215"/>
      <c r="H121" s="1215"/>
      <c r="I121" s="1215"/>
      <c r="J121" s="1215"/>
      <c r="K121" s="1215"/>
      <c r="L121" s="1215"/>
      <c r="M121" s="1215"/>
      <c r="N121" s="1215"/>
      <c r="O121" s="1216"/>
    </row>
    <row r="122" spans="2:18" s="54" customFormat="1">
      <c r="B122" s="1215" t="str">
        <f>Backup!A52</f>
        <v>LT I (G-P)</v>
      </c>
      <c r="C122" s="1215">
        <f>Backup!B52</f>
        <v>0</v>
      </c>
      <c r="D122" s="1215">
        <f>Backup!C52</f>
        <v>0</v>
      </c>
      <c r="E122" s="1215">
        <f>Backup!D52</f>
        <v>0</v>
      </c>
      <c r="F122" s="1215">
        <f>Backup!E52</f>
        <v>0</v>
      </c>
      <c r="G122" s="1215">
        <f>Backup!F52</f>
        <v>0</v>
      </c>
      <c r="H122" s="1215">
        <f>Backup!G52</f>
        <v>0</v>
      </c>
      <c r="I122" s="1215">
        <f>Backup!H52</f>
        <v>0</v>
      </c>
      <c r="J122" s="1215">
        <f>Backup!I52</f>
        <v>0</v>
      </c>
      <c r="K122" s="1215">
        <f>Backup!J52</f>
        <v>0</v>
      </c>
      <c r="L122" s="1215">
        <f>Backup!K52</f>
        <v>0</v>
      </c>
      <c r="M122" s="1215">
        <f>Backup!L52</f>
        <v>0</v>
      </c>
      <c r="N122" s="1215">
        <f>Backup!M52</f>
        <v>0</v>
      </c>
      <c r="O122" s="1216">
        <f t="shared" si="21"/>
        <v>0</v>
      </c>
    </row>
    <row r="123" spans="2:18" s="54" customFormat="1">
      <c r="B123" s="1215" t="str">
        <f>Backup!A53</f>
        <v>LT II (A)</v>
      </c>
      <c r="C123" s="1215">
        <f>Backup!B53</f>
        <v>4.8651093999999999E-2</v>
      </c>
      <c r="D123" s="1215">
        <f>Backup!C53</f>
        <v>5.1790578000000004E-2</v>
      </c>
      <c r="E123" s="1215">
        <f>Backup!D53</f>
        <v>4.6967323000000005E-2</v>
      </c>
      <c r="F123" s="1215">
        <f>Backup!E53</f>
        <v>4.6442224000000004E-2</v>
      </c>
      <c r="G123" s="1215">
        <f>Backup!F53</f>
        <v>4.9798252000000008E-2</v>
      </c>
      <c r="H123" s="1215">
        <f>Backup!G53</f>
        <v>5.0054276899999986E-2</v>
      </c>
      <c r="I123" s="1215">
        <f>Backup!H53</f>
        <v>5.6496208399999998E-2</v>
      </c>
      <c r="J123" s="1215">
        <f>Backup!I53</f>
        <v>5.5128627999999985E-2</v>
      </c>
      <c r="K123" s="1215">
        <f>Backup!J53</f>
        <v>5.7163323499999995E-2</v>
      </c>
      <c r="L123" s="1215">
        <f>Backup!K53</f>
        <v>5.7432660199999999E-2</v>
      </c>
      <c r="M123" s="1215">
        <f>Backup!L53</f>
        <v>5.4500367600000009E-2</v>
      </c>
      <c r="N123" s="1215">
        <f>Backup!M53</f>
        <v>6.3661249400000008E-2</v>
      </c>
      <c r="O123" s="1216">
        <f t="shared" si="21"/>
        <v>0.63808618499999992</v>
      </c>
    </row>
    <row r="124" spans="2:18" s="54" customFormat="1">
      <c r="B124" s="1215" t="str">
        <f>Backup!A54</f>
        <v>LT II (B)</v>
      </c>
      <c r="C124" s="1215">
        <f>Backup!B54</f>
        <v>5.1777952999999995E-2</v>
      </c>
      <c r="D124" s="1215">
        <f>Backup!C54</f>
        <v>6.0830481999999998E-2</v>
      </c>
      <c r="E124" s="1215">
        <f>Backup!D54</f>
        <v>2.848301E-2</v>
      </c>
      <c r="F124" s="1215">
        <f>Backup!E54</f>
        <v>3.3108204000000002E-2</v>
      </c>
      <c r="G124" s="1215">
        <f>Backup!F54</f>
        <v>3.3244705499999999E-2</v>
      </c>
      <c r="H124" s="1215">
        <f>Backup!G54</f>
        <v>2.52323957E-2</v>
      </c>
      <c r="I124" s="1215">
        <f>Backup!H54</f>
        <v>2.7019227099999998E-2</v>
      </c>
      <c r="J124" s="1215">
        <f>Backup!I54</f>
        <v>2.1563297999999998E-2</v>
      </c>
      <c r="K124" s="1215">
        <f>Backup!J54</f>
        <v>2.1653056700000003E-2</v>
      </c>
      <c r="L124" s="1215">
        <f>Backup!K54</f>
        <v>2.3270814100000006E-2</v>
      </c>
      <c r="M124" s="1215">
        <f>Backup!L54</f>
        <v>2.3489741699999997E-2</v>
      </c>
      <c r="N124" s="1215">
        <f>Backup!M54</f>
        <v>2.8858952199999996E-2</v>
      </c>
      <c r="O124" s="1216">
        <f t="shared" si="21"/>
        <v>0.37853184000000001</v>
      </c>
    </row>
    <row r="125" spans="2:18" s="54" customFormat="1">
      <c r="B125" s="1215" t="str">
        <f>Backup!A55</f>
        <v>LT III (A)</v>
      </c>
      <c r="C125" s="1215">
        <f>Backup!B55</f>
        <v>5.7873000000000006E-4</v>
      </c>
      <c r="D125" s="1215">
        <f>Backup!C55</f>
        <v>5.9680900000000001E-4</v>
      </c>
      <c r="E125" s="1215">
        <f>Backup!D55</f>
        <v>6.1953399999999993E-4</v>
      </c>
      <c r="F125" s="1215">
        <f>Backup!E55</f>
        <v>6.7427600000000013E-4</v>
      </c>
      <c r="G125" s="1215">
        <f>Backup!F55</f>
        <v>6.0165700000000002E-4</v>
      </c>
      <c r="H125" s="1215">
        <f>Backup!G55</f>
        <v>5.2519999999999997E-4</v>
      </c>
      <c r="I125" s="1215">
        <f>Backup!H55</f>
        <v>5.0106100000000002E-4</v>
      </c>
      <c r="J125" s="1215">
        <f>Backup!I55</f>
        <v>4.4631899999999998E-4</v>
      </c>
      <c r="K125" s="1215">
        <f>Backup!J55</f>
        <v>4.7500299999999999E-4</v>
      </c>
      <c r="L125" s="1215">
        <f>Backup!K55</f>
        <v>4.2682600000000005E-4</v>
      </c>
      <c r="M125" s="1215">
        <f>Backup!L55</f>
        <v>4.1440299999999998E-4</v>
      </c>
      <c r="N125" s="1215">
        <f>Backup!M55</f>
        <v>4.4177399999999998E-4</v>
      </c>
      <c r="O125" s="1216">
        <f t="shared" si="21"/>
        <v>6.3015919999999991E-3</v>
      </c>
    </row>
    <row r="126" spans="2:18" s="74" customFormat="1">
      <c r="B126" s="1215" t="str">
        <f>Backup!A56</f>
        <v>LT III (B)</v>
      </c>
      <c r="C126" s="1215">
        <f>Backup!B56</f>
        <v>0.59812603999999991</v>
      </c>
      <c r="D126" s="1215">
        <f>Backup!C56</f>
        <v>0.63880682</v>
      </c>
      <c r="E126" s="1215">
        <f>Backup!D56</f>
        <v>0.6389260000000001</v>
      </c>
      <c r="F126" s="1215">
        <f>Backup!E56</f>
        <v>0.62890102280000004</v>
      </c>
      <c r="G126" s="1215">
        <f>Backup!F56</f>
        <v>0.62395174000000009</v>
      </c>
      <c r="H126" s="1215">
        <f>Backup!G56</f>
        <v>0.61387800000000003</v>
      </c>
      <c r="I126" s="1215">
        <f>Backup!H56</f>
        <v>0.59849166000000009</v>
      </c>
      <c r="J126" s="1215">
        <f>Backup!I56</f>
        <v>0.57967334000000004</v>
      </c>
      <c r="K126" s="1215">
        <f>Backup!J56</f>
        <v>0.56560807999999996</v>
      </c>
      <c r="L126" s="1215">
        <f>Backup!K56</f>
        <v>0.57032477999999998</v>
      </c>
      <c r="M126" s="1215">
        <f>Backup!L56</f>
        <v>0.53311112800000016</v>
      </c>
      <c r="N126" s="1215">
        <f>Backup!M56</f>
        <v>0.61017332000000002</v>
      </c>
      <c r="O126" s="1216">
        <f t="shared" si="21"/>
        <v>7.1999719308000003</v>
      </c>
      <c r="P126" s="54"/>
    </row>
    <row r="127" spans="2:18" s="87" customFormat="1">
      <c r="B127" s="367" t="s">
        <v>115</v>
      </c>
      <c r="C127" s="1217">
        <f t="shared" ref="C127:M127" si="22">SUM(C119:C126)</f>
        <v>7.6606261870000001</v>
      </c>
      <c r="D127" s="1217">
        <f t="shared" si="22"/>
        <v>8.3305644389999998</v>
      </c>
      <c r="E127" s="1217">
        <f t="shared" si="22"/>
        <v>8.111245267000001</v>
      </c>
      <c r="F127" s="1217">
        <f t="shared" si="22"/>
        <v>8.3176993467999996</v>
      </c>
      <c r="G127" s="1217">
        <f t="shared" si="22"/>
        <v>7.9276983204999985</v>
      </c>
      <c r="H127" s="1217">
        <f t="shared" si="22"/>
        <v>7.8578485485999989</v>
      </c>
      <c r="I127" s="1217">
        <f t="shared" si="22"/>
        <v>7.9893204405000002</v>
      </c>
      <c r="J127" s="1217">
        <f t="shared" si="22"/>
        <v>7.3879702280000004</v>
      </c>
      <c r="K127" s="1217">
        <f t="shared" si="22"/>
        <v>7.1278613122000003</v>
      </c>
      <c r="L127" s="1217">
        <f t="shared" si="22"/>
        <v>7.2144717513000014</v>
      </c>
      <c r="M127" s="1217">
        <f t="shared" si="22"/>
        <v>6.8847136495999983</v>
      </c>
      <c r="N127" s="1217">
        <f>SUM(N119:N126)</f>
        <v>8.0312847688999991</v>
      </c>
      <c r="O127" s="1217">
        <f>SUM(O119:O126)</f>
        <v>92.841304259400019</v>
      </c>
      <c r="P127" s="54"/>
    </row>
    <row r="128" spans="2:18" s="1" customFormat="1">
      <c r="B128" s="181"/>
      <c r="C128" s="155"/>
      <c r="D128" s="155"/>
      <c r="E128" s="326"/>
      <c r="F128" s="327"/>
      <c r="G128" s="326"/>
      <c r="H128" s="326"/>
      <c r="I128" s="326"/>
      <c r="J128" s="326"/>
      <c r="K128" s="326"/>
      <c r="L128" s="326"/>
      <c r="M128" s="326"/>
      <c r="N128" s="326"/>
      <c r="O128" s="328"/>
      <c r="P128" s="10"/>
    </row>
    <row r="129" spans="2:18" s="1" customFormat="1" ht="18">
      <c r="B129" s="46" t="s">
        <v>685</v>
      </c>
      <c r="C129" s="154"/>
      <c r="D129" s="154"/>
      <c r="E129" s="154"/>
      <c r="F129" s="154"/>
      <c r="G129" s="154"/>
      <c r="H129" s="154"/>
      <c r="I129" s="154"/>
      <c r="J129" s="154"/>
      <c r="K129" s="154"/>
      <c r="L129" s="154"/>
      <c r="M129" s="154"/>
      <c r="N129" s="154"/>
      <c r="O129" s="62"/>
      <c r="P129" s="43"/>
      <c r="Q129" s="43"/>
      <c r="R129" s="59"/>
    </row>
    <row r="130" spans="2:18" s="1" customFormat="1" ht="18">
      <c r="B130" s="46"/>
      <c r="C130" s="52"/>
      <c r="D130" s="52"/>
      <c r="E130" s="155"/>
      <c r="F130" s="155"/>
      <c r="G130" s="155"/>
      <c r="H130" s="155"/>
      <c r="I130" s="155"/>
      <c r="J130" s="155"/>
      <c r="K130" s="155"/>
      <c r="L130" s="155"/>
      <c r="M130" s="155"/>
      <c r="N130" s="155"/>
      <c r="O130" s="52" t="s">
        <v>117</v>
      </c>
      <c r="P130" s="10"/>
      <c r="Q130" s="43"/>
    </row>
    <row r="131" spans="2:18" s="74" customFormat="1" ht="33" customHeight="1">
      <c r="B131" s="269" t="s">
        <v>266</v>
      </c>
      <c r="C131" s="316" t="s">
        <v>118</v>
      </c>
      <c r="D131" s="316" t="s">
        <v>119</v>
      </c>
      <c r="E131" s="315" t="s">
        <v>120</v>
      </c>
      <c r="F131" s="315" t="s">
        <v>121</v>
      </c>
      <c r="G131" s="315" t="s">
        <v>122</v>
      </c>
      <c r="H131" s="315" t="s">
        <v>123</v>
      </c>
      <c r="I131" s="315" t="s">
        <v>124</v>
      </c>
      <c r="J131" s="315" t="s">
        <v>125</v>
      </c>
      <c r="K131" s="315" t="s">
        <v>126</v>
      </c>
      <c r="L131" s="315" t="s">
        <v>127</v>
      </c>
      <c r="M131" s="315" t="s">
        <v>128</v>
      </c>
      <c r="N131" s="315" t="s">
        <v>129</v>
      </c>
      <c r="O131" s="329" t="s">
        <v>283</v>
      </c>
      <c r="P131" s="54"/>
    </row>
    <row r="132" spans="2:18" s="39" customFormat="1">
      <c r="B132" s="98"/>
      <c r="C132" s="98"/>
      <c r="D132" s="98"/>
      <c r="E132" s="98"/>
      <c r="F132" s="98"/>
      <c r="G132" s="98"/>
      <c r="H132" s="98"/>
      <c r="I132" s="98"/>
      <c r="J132" s="98"/>
      <c r="K132" s="98"/>
      <c r="L132" s="98"/>
      <c r="M132" s="98"/>
      <c r="N132" s="98"/>
      <c r="O132" s="190"/>
      <c r="P132" s="10"/>
    </row>
    <row r="133" spans="2:18" s="10" customFormat="1" ht="14.25">
      <c r="B133" s="446" t="str">
        <f>Backup!A62</f>
        <v>HT Category</v>
      </c>
      <c r="C133" s="446"/>
      <c r="D133" s="446"/>
      <c r="E133" s="446"/>
      <c r="F133" s="446"/>
      <c r="G133" s="446"/>
      <c r="H133" s="446"/>
      <c r="I133" s="446"/>
      <c r="J133" s="446"/>
      <c r="K133" s="446"/>
      <c r="L133" s="446"/>
      <c r="M133" s="446"/>
      <c r="N133" s="446"/>
      <c r="O133" s="99"/>
    </row>
    <row r="134" spans="2:18" s="10" customFormat="1">
      <c r="B134" s="447" t="str">
        <f>Backup!A63</f>
        <v>HT I</v>
      </c>
      <c r="C134" s="447">
        <f>Backup!B63</f>
        <v>7.0311072936999999</v>
      </c>
      <c r="D134" s="447">
        <f>Backup!C63</f>
        <v>7.6543251474999998</v>
      </c>
      <c r="E134" s="447">
        <f>Backup!D63</f>
        <v>6.9652118940000003</v>
      </c>
      <c r="F134" s="447">
        <f>Backup!E63</f>
        <v>7.1796593561999993</v>
      </c>
      <c r="G134" s="447">
        <f>Backup!F63</f>
        <v>6.7873029856599985</v>
      </c>
      <c r="H134" s="447">
        <f>Backup!G63</f>
        <v>6.7348402627599988</v>
      </c>
      <c r="I134" s="447">
        <f>Backup!H63</f>
        <v>6.87488040684</v>
      </c>
      <c r="J134" s="447">
        <f>Backup!I63</f>
        <v>6.2934702294299996</v>
      </c>
      <c r="K134" s="447">
        <f>Backup!J63</f>
        <v>6.0427914674900007</v>
      </c>
      <c r="L134" s="447">
        <f>Backup!K63</f>
        <v>6.1236468377100017</v>
      </c>
      <c r="M134" s="447">
        <f>Backup!L63</f>
        <v>5.8309299893929989</v>
      </c>
      <c r="N134" s="447">
        <f>Backup!M63</f>
        <v>6.896430968033</v>
      </c>
      <c r="O134" s="449">
        <f>SUM(C134:N134)</f>
        <v>80.414596838715994</v>
      </c>
    </row>
    <row r="135" spans="2:18" s="10" customFormat="1">
      <c r="B135" s="447" t="str">
        <f>Backup!A64</f>
        <v>HT II</v>
      </c>
      <c r="C135" s="447">
        <f>Backup!B64</f>
        <v>0.5</v>
      </c>
      <c r="D135" s="447">
        <f>Backup!C64</f>
        <v>0.5</v>
      </c>
      <c r="E135" s="447">
        <f>Backup!D64</f>
        <v>0.5</v>
      </c>
      <c r="F135" s="447">
        <f>Backup!E64</f>
        <v>0.5</v>
      </c>
      <c r="G135" s="447">
        <f>Backup!F64</f>
        <v>0.5</v>
      </c>
      <c r="H135" s="447">
        <f>Backup!G64</f>
        <v>0.5</v>
      </c>
      <c r="I135" s="447">
        <f>Backup!H64</f>
        <v>0.5</v>
      </c>
      <c r="J135" s="447">
        <f>Backup!I64</f>
        <v>0.5</v>
      </c>
      <c r="K135" s="447">
        <f>Backup!J64</f>
        <v>0.5</v>
      </c>
      <c r="L135" s="447">
        <f>Backup!K64</f>
        <v>0.5</v>
      </c>
      <c r="M135" s="447">
        <f>Backup!L64</f>
        <v>0.5</v>
      </c>
      <c r="N135" s="447">
        <f>Backup!M64</f>
        <v>0.5</v>
      </c>
      <c r="O135" s="449">
        <f t="shared" ref="O135:O141" si="23">SUM(C135:N135)</f>
        <v>6</v>
      </c>
    </row>
    <row r="136" spans="2:18" s="10" customFormat="1" ht="14.25">
      <c r="B136" s="446" t="str">
        <f>Backup!A65</f>
        <v>LT Category</v>
      </c>
      <c r="C136" s="446"/>
      <c r="D136" s="446"/>
      <c r="E136" s="446"/>
      <c r="F136" s="446"/>
      <c r="G136" s="446"/>
      <c r="H136" s="446"/>
      <c r="I136" s="446"/>
      <c r="J136" s="446"/>
      <c r="K136" s="446"/>
      <c r="L136" s="446"/>
      <c r="M136" s="446"/>
      <c r="N136" s="446"/>
      <c r="O136" s="449"/>
    </row>
    <row r="137" spans="2:18" s="10" customFormat="1">
      <c r="B137" s="447" t="str">
        <f>Backup!A66</f>
        <v>LT I (G-P)</v>
      </c>
      <c r="C137" s="447">
        <f>Backup!B66</f>
        <v>0</v>
      </c>
      <c r="D137" s="447">
        <f>Backup!C66</f>
        <v>0</v>
      </c>
      <c r="E137" s="447">
        <f>Backup!D66</f>
        <v>0</v>
      </c>
      <c r="F137" s="447">
        <f>Backup!E66</f>
        <v>0</v>
      </c>
      <c r="G137" s="447">
        <f>Backup!F66</f>
        <v>0</v>
      </c>
      <c r="H137" s="447">
        <f>Backup!G66</f>
        <v>0</v>
      </c>
      <c r="I137" s="447">
        <f>Backup!H66</f>
        <v>0</v>
      </c>
      <c r="J137" s="447">
        <f>Backup!I66</f>
        <v>0</v>
      </c>
      <c r="K137" s="447">
        <f>Backup!J66</f>
        <v>0</v>
      </c>
      <c r="L137" s="447">
        <f>Backup!K66</f>
        <v>0</v>
      </c>
      <c r="M137" s="447">
        <f>Backup!L66</f>
        <v>0</v>
      </c>
      <c r="N137" s="447">
        <f>Backup!M66</f>
        <v>0</v>
      </c>
      <c r="O137" s="449">
        <f t="shared" si="23"/>
        <v>0</v>
      </c>
    </row>
    <row r="138" spans="2:18" s="10" customFormat="1">
      <c r="B138" s="447" t="str">
        <f>Backup!A67</f>
        <v>LT II (A)</v>
      </c>
      <c r="C138" s="447">
        <f>Backup!B67</f>
        <v>4.9137604939999996E-2</v>
      </c>
      <c r="D138" s="447">
        <f>Backup!C67</f>
        <v>5.2308483780000005E-2</v>
      </c>
      <c r="E138" s="447">
        <f>Backup!D67</f>
        <v>4.7436996230000007E-2</v>
      </c>
      <c r="F138" s="447">
        <f>Backup!E67</f>
        <v>4.6906646240000002E-2</v>
      </c>
      <c r="G138" s="447">
        <f>Backup!F67</f>
        <v>5.029623452000001E-2</v>
      </c>
      <c r="H138" s="447">
        <f>Backup!G67</f>
        <v>5.0554819668999988E-2</v>
      </c>
      <c r="I138" s="447">
        <f>Backup!H67</f>
        <v>5.7061170484000001E-2</v>
      </c>
      <c r="J138" s="447">
        <f>Backup!I67</f>
        <v>5.5679914279999985E-2</v>
      </c>
      <c r="K138" s="447">
        <f>Backup!J67</f>
        <v>5.7734956734999995E-2</v>
      </c>
      <c r="L138" s="447">
        <f>Backup!K67</f>
        <v>5.8006986801999998E-2</v>
      </c>
      <c r="M138" s="447">
        <f>Backup!L67</f>
        <v>5.504537127600001E-2</v>
      </c>
      <c r="N138" s="447">
        <f>Backup!M67</f>
        <v>6.4297861894000011E-2</v>
      </c>
      <c r="O138" s="449">
        <f t="shared" si="23"/>
        <v>0.64446704685</v>
      </c>
    </row>
    <row r="139" spans="2:18" s="10" customFormat="1">
      <c r="B139" s="447" t="str">
        <f>Backup!A68</f>
        <v>LT II (B)</v>
      </c>
      <c r="C139" s="447">
        <f>Backup!B68</f>
        <v>5.2295732529999993E-2</v>
      </c>
      <c r="D139" s="447">
        <f>Backup!C68</f>
        <v>6.1438786820000001E-2</v>
      </c>
      <c r="E139" s="447">
        <f>Backup!D68</f>
        <v>2.8767840100000001E-2</v>
      </c>
      <c r="F139" s="447">
        <f>Backup!E68</f>
        <v>3.3439286040000002E-2</v>
      </c>
      <c r="G139" s="447">
        <f>Backup!F68</f>
        <v>3.3577152554999996E-2</v>
      </c>
      <c r="H139" s="447">
        <f>Backup!G68</f>
        <v>2.5484719656999999E-2</v>
      </c>
      <c r="I139" s="447">
        <f>Backup!H68</f>
        <v>2.7289419370999997E-2</v>
      </c>
      <c r="J139" s="447">
        <f>Backup!I68</f>
        <v>2.177893098E-2</v>
      </c>
      <c r="K139" s="447">
        <f>Backup!J68</f>
        <v>2.1869587267000001E-2</v>
      </c>
      <c r="L139" s="447">
        <f>Backup!K68</f>
        <v>2.3503522241000007E-2</v>
      </c>
      <c r="M139" s="447">
        <f>Backup!L68</f>
        <v>2.3724639116999999E-2</v>
      </c>
      <c r="N139" s="447">
        <f>Backup!M68</f>
        <v>2.9147541721999997E-2</v>
      </c>
      <c r="O139" s="449">
        <f t="shared" si="23"/>
        <v>0.38231715840000002</v>
      </c>
    </row>
    <row r="140" spans="2:18" s="10" customFormat="1">
      <c r="B140" s="447" t="str">
        <f>Backup!A69</f>
        <v>LT III (A)</v>
      </c>
      <c r="C140" s="447">
        <f>Backup!B69</f>
        <v>5.845173000000001E-4</v>
      </c>
      <c r="D140" s="447">
        <f>Backup!C69</f>
        <v>6.0277709000000005E-4</v>
      </c>
      <c r="E140" s="447">
        <f>Backup!D69</f>
        <v>6.2572933999999994E-4</v>
      </c>
      <c r="F140" s="447">
        <f>Backup!E69</f>
        <v>6.8101876000000014E-4</v>
      </c>
      <c r="G140" s="447">
        <f>Backup!F69</f>
        <v>6.0767356999999998E-4</v>
      </c>
      <c r="H140" s="447">
        <f>Backup!G69</f>
        <v>5.3045199999999994E-4</v>
      </c>
      <c r="I140" s="447">
        <f>Backup!H69</f>
        <v>5.0607161000000003E-4</v>
      </c>
      <c r="J140" s="447">
        <f>Backup!I69</f>
        <v>4.5078218999999999E-4</v>
      </c>
      <c r="K140" s="447">
        <f>Backup!J69</f>
        <v>4.7975303000000001E-4</v>
      </c>
      <c r="L140" s="447">
        <f>Backup!K69</f>
        <v>4.3109426000000008E-4</v>
      </c>
      <c r="M140" s="447">
        <f>Backup!L69</f>
        <v>4.1854703E-4</v>
      </c>
      <c r="N140" s="447">
        <f>Backup!M69</f>
        <v>4.4619174E-4</v>
      </c>
      <c r="O140" s="449">
        <f t="shared" si="23"/>
        <v>6.3646079200000002E-3</v>
      </c>
    </row>
    <row r="141" spans="2:18">
      <c r="B141" s="447" t="str">
        <f>Backup!A70</f>
        <v>LT III (B)</v>
      </c>
      <c r="C141" s="447">
        <f>Backup!B70</f>
        <v>0.60410730039999994</v>
      </c>
      <c r="D141" s="447">
        <f>Backup!C70</f>
        <v>0.64519488820000004</v>
      </c>
      <c r="E141" s="447">
        <f>Backup!D70</f>
        <v>0.64531526000000006</v>
      </c>
      <c r="F141" s="447">
        <f>Backup!E70</f>
        <v>0.63519003302800003</v>
      </c>
      <c r="G141" s="447">
        <f>Backup!F70</f>
        <v>0.63019125740000015</v>
      </c>
      <c r="H141" s="447">
        <f>Backup!G70</f>
        <v>0.62001678000000005</v>
      </c>
      <c r="I141" s="447">
        <f>Backup!H70</f>
        <v>0.60447657660000009</v>
      </c>
      <c r="J141" s="447">
        <f>Backup!I70</f>
        <v>0.58547007340000001</v>
      </c>
      <c r="K141" s="447">
        <f>Backup!J70</f>
        <v>0.57126416079999998</v>
      </c>
      <c r="L141" s="447">
        <f>Backup!K70</f>
        <v>0.57602802779999995</v>
      </c>
      <c r="M141" s="447">
        <f>Backup!L70</f>
        <v>0.53844223928000012</v>
      </c>
      <c r="N141" s="447">
        <f>Backup!M70</f>
        <v>0.61627505319999998</v>
      </c>
      <c r="O141" s="449">
        <f t="shared" si="23"/>
        <v>7.2719716501080001</v>
      </c>
      <c r="P141" s="10"/>
    </row>
    <row r="142" spans="2:18" s="1" customFormat="1">
      <c r="B142" s="63" t="s">
        <v>115</v>
      </c>
      <c r="C142" s="420">
        <f>SUM(C134:C141)</f>
        <v>8.2372324488699995</v>
      </c>
      <c r="D142" s="420">
        <f t="shared" ref="D142:O142" si="24">SUM(D134:D141)</f>
        <v>8.91387008339</v>
      </c>
      <c r="E142" s="420">
        <f t="shared" si="24"/>
        <v>8.1873577196700005</v>
      </c>
      <c r="F142" s="420">
        <f t="shared" si="24"/>
        <v>8.3958763402679999</v>
      </c>
      <c r="G142" s="420">
        <f t="shared" si="24"/>
        <v>8.0019753037049988</v>
      </c>
      <c r="H142" s="420">
        <f t="shared" si="24"/>
        <v>7.9314270340859991</v>
      </c>
      <c r="I142" s="420">
        <f t="shared" si="24"/>
        <v>8.064213644905001</v>
      </c>
      <c r="J142" s="420">
        <f t="shared" si="24"/>
        <v>7.4568499302799989</v>
      </c>
      <c r="K142" s="420">
        <f t="shared" si="24"/>
        <v>7.1941399253220002</v>
      </c>
      <c r="L142" s="420">
        <f t="shared" si="24"/>
        <v>7.2816164688130005</v>
      </c>
      <c r="M142" s="420">
        <f t="shared" si="24"/>
        <v>6.9485607860959986</v>
      </c>
      <c r="N142" s="420">
        <f t="shared" si="24"/>
        <v>8.106597616589001</v>
      </c>
      <c r="O142" s="420">
        <f t="shared" si="24"/>
        <v>94.719717301993995</v>
      </c>
      <c r="P142" s="10"/>
    </row>
    <row r="143" spans="2:18" s="1" customFormat="1">
      <c r="B143" s="181"/>
      <c r="C143" s="155"/>
      <c r="D143" s="155"/>
      <c r="E143" s="326"/>
      <c r="F143" s="327"/>
      <c r="G143" s="326"/>
      <c r="H143" s="326"/>
      <c r="I143" s="326"/>
      <c r="J143" s="326"/>
      <c r="K143" s="326"/>
      <c r="L143" s="326"/>
      <c r="M143" s="326"/>
      <c r="N143" s="326"/>
      <c r="O143" s="328"/>
      <c r="P143" s="10"/>
    </row>
    <row r="145" spans="2:6">
      <c r="B145" s="10" t="s">
        <v>712</v>
      </c>
    </row>
    <row r="147" spans="2:6" ht="28.5">
      <c r="B147" s="372" t="s">
        <v>266</v>
      </c>
      <c r="C147" s="371" t="s">
        <v>713</v>
      </c>
      <c r="D147" s="371" t="s">
        <v>714</v>
      </c>
      <c r="E147" s="371" t="s">
        <v>715</v>
      </c>
      <c r="F147" s="371" t="s">
        <v>716</v>
      </c>
    </row>
    <row r="148" spans="2:6">
      <c r="B148" s="98"/>
      <c r="C148" s="1367" t="s">
        <v>967</v>
      </c>
      <c r="D148" s="1368"/>
      <c r="E148" s="1368"/>
      <c r="F148" s="1369"/>
    </row>
    <row r="149" spans="2:6">
      <c r="B149" s="132" t="s">
        <v>267</v>
      </c>
      <c r="C149" s="1370"/>
      <c r="D149" s="1371"/>
      <c r="E149" s="1371"/>
      <c r="F149" s="1372"/>
    </row>
    <row r="150" spans="2:6">
      <c r="B150" s="66" t="s">
        <v>268</v>
      </c>
      <c r="C150" s="1370"/>
      <c r="D150" s="1371"/>
      <c r="E150" s="1371"/>
      <c r="F150" s="1372"/>
    </row>
    <row r="151" spans="2:6">
      <c r="B151" s="66"/>
      <c r="C151" s="1370"/>
      <c r="D151" s="1371"/>
      <c r="E151" s="1371"/>
      <c r="F151" s="1372"/>
    </row>
    <row r="152" spans="2:6">
      <c r="B152" s="67" t="s">
        <v>269</v>
      </c>
      <c r="C152" s="1370"/>
      <c r="D152" s="1371"/>
      <c r="E152" s="1371"/>
      <c r="F152" s="1372"/>
    </row>
    <row r="153" spans="2:6">
      <c r="B153" s="67"/>
      <c r="C153" s="1370"/>
      <c r="D153" s="1371"/>
      <c r="E153" s="1371"/>
      <c r="F153" s="1372"/>
    </row>
    <row r="154" spans="2:6">
      <c r="B154" s="132" t="s">
        <v>270</v>
      </c>
      <c r="C154" s="1370"/>
      <c r="D154" s="1371"/>
      <c r="E154" s="1371"/>
      <c r="F154" s="1372"/>
    </row>
    <row r="155" spans="2:6">
      <c r="B155" s="66" t="s">
        <v>268</v>
      </c>
      <c r="C155" s="1370"/>
      <c r="D155" s="1371"/>
      <c r="E155" s="1371"/>
      <c r="F155" s="1372"/>
    </row>
    <row r="156" spans="2:6">
      <c r="B156" s="66"/>
      <c r="C156" s="1370"/>
      <c r="D156" s="1371"/>
      <c r="E156" s="1371"/>
      <c r="F156" s="1372"/>
    </row>
    <row r="157" spans="2:6">
      <c r="B157" s="67" t="s">
        <v>269</v>
      </c>
      <c r="C157" s="1370"/>
      <c r="D157" s="1371"/>
      <c r="E157" s="1371"/>
      <c r="F157" s="1372"/>
    </row>
    <row r="158" spans="2:6">
      <c r="B158" s="67"/>
      <c r="C158" s="1370"/>
      <c r="D158" s="1371"/>
      <c r="E158" s="1371"/>
      <c r="F158" s="1372"/>
    </row>
    <row r="159" spans="2:6">
      <c r="B159" s="63" t="s">
        <v>115</v>
      </c>
      <c r="C159" s="1373"/>
      <c r="D159" s="1374"/>
      <c r="E159" s="1374"/>
      <c r="F159" s="1375"/>
    </row>
    <row r="160" spans="2:6">
      <c r="B160" s="181" t="s">
        <v>450</v>
      </c>
    </row>
    <row r="161" spans="2:17">
      <c r="B161" s="39" t="s">
        <v>451</v>
      </c>
    </row>
    <row r="162" spans="2:17" s="1" customFormat="1" ht="18">
      <c r="B162" s="42" t="s">
        <v>452</v>
      </c>
      <c r="C162" s="44"/>
      <c r="D162" s="44"/>
      <c r="E162" s="44"/>
      <c r="F162" s="44"/>
      <c r="G162" s="16"/>
      <c r="H162" s="16"/>
      <c r="I162" s="16"/>
      <c r="J162" s="16"/>
      <c r="K162" s="16"/>
      <c r="L162" s="16"/>
      <c r="M162" s="16"/>
      <c r="N162" s="16"/>
      <c r="O162" s="16"/>
      <c r="P162" s="43"/>
      <c r="Q162" s="43"/>
    </row>
    <row r="163" spans="2:17">
      <c r="B163" s="39" t="s">
        <v>578</v>
      </c>
    </row>
  </sheetData>
  <mergeCells count="11">
    <mergeCell ref="C8:E8"/>
    <mergeCell ref="B8:B10"/>
    <mergeCell ref="B29:B31"/>
    <mergeCell ref="C29:E29"/>
    <mergeCell ref="F29:J29"/>
    <mergeCell ref="C148:F159"/>
    <mergeCell ref="B94:B95"/>
    <mergeCell ref="O94:O95"/>
    <mergeCell ref="C94:N94"/>
    <mergeCell ref="K29:L29"/>
    <mergeCell ref="M29:N29"/>
  </mergeCells>
  <pageMargins left="0.6692913385826772" right="0.23622047244094491" top="0.35433070866141736" bottom="0.6692913385826772" header="0.23622047244094491" footer="0.23622047244094491"/>
  <pageSetup paperSize="9" scale="59" fitToHeight="0" orientation="landscape" r:id="rId1"/>
  <headerFooter alignWithMargins="0">
    <oddHeader>&amp;F</oddHeader>
  </headerFooter>
  <rowBreaks count="2" manualBreakCount="2">
    <brk id="50" max="16383" man="1"/>
    <brk id="111"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C000"/>
    <pageSetUpPr fitToPage="1"/>
  </sheetPr>
  <dimension ref="B1:AF44"/>
  <sheetViews>
    <sheetView showGridLines="0" view="pageBreakPreview" topLeftCell="C11" zoomScale="70" zoomScaleNormal="70" zoomScaleSheetLayoutView="70" workbookViewId="0">
      <selection activeCell="C11" sqref="C11:C12"/>
    </sheetView>
  </sheetViews>
  <sheetFormatPr defaultColWidth="9.140625" defaultRowHeight="15"/>
  <cols>
    <col min="1" max="1" width="6.85546875" style="18" customWidth="1"/>
    <col min="2" max="2" width="28.42578125" style="18" customWidth="1"/>
    <col min="3" max="3" width="14.140625" style="91" customWidth="1"/>
    <col min="4" max="4" width="15.5703125" style="91" customWidth="1"/>
    <col min="5" max="6" width="11.7109375" style="91" customWidth="1"/>
    <col min="7" max="9" width="12.28515625" style="18" customWidth="1"/>
    <col min="10" max="10" width="15.7109375" style="18" customWidth="1"/>
    <col min="11" max="12" width="12.28515625" style="18" customWidth="1"/>
    <col min="13" max="13" width="15.140625" style="18" bestFit="1" customWidth="1"/>
    <col min="14" max="15" width="12.28515625" style="18" customWidth="1"/>
    <col min="16" max="16" width="15.140625" style="18" bestFit="1" customWidth="1"/>
    <col min="17" max="18" width="12.28515625" style="18" customWidth="1"/>
    <col min="19" max="19" width="15.140625" style="18" bestFit="1" customWidth="1"/>
    <col min="20" max="21" width="12.28515625" style="18" customWidth="1"/>
    <col min="22" max="22" width="15.140625" style="18" bestFit="1" customWidth="1"/>
    <col min="23" max="24" width="12.28515625" style="18" customWidth="1"/>
    <col min="25" max="25" width="15.140625" style="18" bestFit="1" customWidth="1"/>
    <col min="26" max="27" width="12.28515625" style="18" customWidth="1"/>
    <col min="28" max="28" width="15.140625" style="18" bestFit="1" customWidth="1"/>
    <col min="29" max="30" width="12.28515625" style="18" customWidth="1"/>
    <col min="31" max="31" width="14.5703125" style="18" customWidth="1"/>
    <col min="32" max="32" width="12.28515625" style="18" customWidth="1"/>
    <col min="33" max="16384" width="9.140625" style="18"/>
  </cols>
  <sheetData>
    <row r="1" spans="2:32">
      <c r="C1" s="305"/>
    </row>
    <row r="2" spans="2:32">
      <c r="B2" s="182"/>
      <c r="C2" s="278"/>
      <c r="E2" s="278"/>
      <c r="F2" s="278"/>
      <c r="H2" s="312"/>
      <c r="I2" s="312"/>
      <c r="J2" s="100"/>
      <c r="L2" s="100"/>
      <c r="M2" s="37"/>
      <c r="O2" s="375" t="s">
        <v>906</v>
      </c>
    </row>
    <row r="3" spans="2:32" s="155" customFormat="1">
      <c r="B3" s="240"/>
      <c r="C3" s="297"/>
      <c r="E3" s="297"/>
      <c r="F3" s="297"/>
      <c r="H3" s="311"/>
      <c r="I3" s="311"/>
      <c r="J3" s="229"/>
      <c r="L3" s="229"/>
      <c r="M3" s="39"/>
      <c r="O3" s="373" t="s">
        <v>725</v>
      </c>
    </row>
    <row r="4" spans="2:32" s="155" customFormat="1">
      <c r="B4" s="240"/>
      <c r="C4" s="297"/>
      <c r="E4" s="297"/>
      <c r="F4" s="297"/>
      <c r="H4" s="189"/>
      <c r="I4" s="189"/>
      <c r="J4" s="229"/>
      <c r="L4" s="229"/>
      <c r="M4" s="70"/>
      <c r="O4" s="189" t="s">
        <v>509</v>
      </c>
    </row>
    <row r="5" spans="2:32">
      <c r="B5" s="37"/>
      <c r="D5" s="189"/>
      <c r="G5" s="37"/>
      <c r="H5" s="37"/>
      <c r="I5" s="37"/>
      <c r="J5" s="37"/>
      <c r="K5" s="37"/>
      <c r="L5" s="37"/>
      <c r="M5" s="37"/>
    </row>
    <row r="6" spans="2:32">
      <c r="B6" s="71"/>
    </row>
    <row r="7" spans="2:32">
      <c r="B7" s="71"/>
    </row>
    <row r="8" spans="2:32">
      <c r="B8" s="71" t="s">
        <v>492</v>
      </c>
    </row>
    <row r="9" spans="2:32">
      <c r="B9" s="71"/>
    </row>
    <row r="10" spans="2:32">
      <c r="B10" s="1543" t="s">
        <v>252</v>
      </c>
      <c r="C10" s="1540" t="s">
        <v>494</v>
      </c>
      <c r="D10" s="1541"/>
      <c r="E10" s="1542"/>
      <c r="F10" s="1546" t="s">
        <v>495</v>
      </c>
      <c r="G10" s="1540" t="s">
        <v>496</v>
      </c>
      <c r="H10" s="1541"/>
      <c r="I10" s="1541"/>
      <c r="J10" s="1541"/>
      <c r="K10" s="1542"/>
      <c r="L10" s="1539" t="s">
        <v>497</v>
      </c>
      <c r="M10" s="1539"/>
      <c r="N10" s="1539"/>
      <c r="O10" s="1539" t="s">
        <v>498</v>
      </c>
      <c r="P10" s="1539"/>
      <c r="Q10" s="1539"/>
      <c r="R10" s="1539" t="s">
        <v>609</v>
      </c>
      <c r="S10" s="1539"/>
      <c r="T10" s="1539"/>
      <c r="U10" s="1539" t="s">
        <v>607</v>
      </c>
      <c r="V10" s="1539"/>
      <c r="W10" s="1539"/>
      <c r="X10" s="1539" t="s">
        <v>608</v>
      </c>
      <c r="Y10" s="1539"/>
      <c r="Z10" s="1539"/>
      <c r="AA10" s="1539" t="s">
        <v>510</v>
      </c>
      <c r="AB10" s="1539"/>
      <c r="AC10" s="1539"/>
      <c r="AD10" s="1539" t="s">
        <v>511</v>
      </c>
      <c r="AE10" s="1539"/>
      <c r="AF10" s="1539"/>
    </row>
    <row r="11" spans="2:32">
      <c r="B11" s="1544"/>
      <c r="C11" s="1535" t="s">
        <v>499</v>
      </c>
      <c r="D11" s="1535" t="s">
        <v>500</v>
      </c>
      <c r="E11" s="1535" t="s">
        <v>115</v>
      </c>
      <c r="F11" s="1547"/>
      <c r="G11" s="1540" t="s">
        <v>512</v>
      </c>
      <c r="H11" s="1541"/>
      <c r="I11" s="1542"/>
      <c r="J11" s="1535" t="s">
        <v>503</v>
      </c>
      <c r="K11" s="1535" t="s">
        <v>606</v>
      </c>
      <c r="L11" s="1535" t="s">
        <v>501</v>
      </c>
      <c r="M11" s="1535" t="s">
        <v>502</v>
      </c>
      <c r="N11" s="1535" t="s">
        <v>115</v>
      </c>
      <c r="O11" s="1535" t="s">
        <v>501</v>
      </c>
      <c r="P11" s="1535" t="s">
        <v>502</v>
      </c>
      <c r="Q11" s="1535" t="s">
        <v>115</v>
      </c>
      <c r="R11" s="1535" t="s">
        <v>501</v>
      </c>
      <c r="S11" s="1535" t="s">
        <v>502</v>
      </c>
      <c r="T11" s="1535" t="s">
        <v>115</v>
      </c>
      <c r="U11" s="1535" t="s">
        <v>501</v>
      </c>
      <c r="V11" s="1535" t="s">
        <v>502</v>
      </c>
      <c r="W11" s="1535" t="s">
        <v>115</v>
      </c>
      <c r="X11" s="1535" t="s">
        <v>501</v>
      </c>
      <c r="Y11" s="1535" t="s">
        <v>502</v>
      </c>
      <c r="Z11" s="1535" t="s">
        <v>115</v>
      </c>
      <c r="AA11" s="1535" t="s">
        <v>501</v>
      </c>
      <c r="AB11" s="1535" t="s">
        <v>502</v>
      </c>
      <c r="AC11" s="1535" t="s">
        <v>115</v>
      </c>
      <c r="AD11" s="1535" t="s">
        <v>501</v>
      </c>
      <c r="AE11" s="1535" t="s">
        <v>502</v>
      </c>
      <c r="AF11" s="1535" t="s">
        <v>115</v>
      </c>
    </row>
    <row r="12" spans="2:32" ht="42.75">
      <c r="B12" s="1545"/>
      <c r="C12" s="1536"/>
      <c r="D12" s="1536"/>
      <c r="E12" s="1536"/>
      <c r="F12" s="1548"/>
      <c r="G12" s="300" t="s">
        <v>527</v>
      </c>
      <c r="H12" s="300" t="s">
        <v>528</v>
      </c>
      <c r="I12" s="300" t="s">
        <v>115</v>
      </c>
      <c r="J12" s="1536"/>
      <c r="K12" s="1536"/>
      <c r="L12" s="1536"/>
      <c r="M12" s="1536"/>
      <c r="N12" s="1536"/>
      <c r="O12" s="1536"/>
      <c r="P12" s="1536"/>
      <c r="Q12" s="1536"/>
      <c r="R12" s="1536"/>
      <c r="S12" s="1536"/>
      <c r="T12" s="1536"/>
      <c r="U12" s="1536"/>
      <c r="V12" s="1536"/>
      <c r="W12" s="1536"/>
      <c r="X12" s="1536"/>
      <c r="Y12" s="1536"/>
      <c r="Z12" s="1536"/>
      <c r="AA12" s="1536"/>
      <c r="AB12" s="1536"/>
      <c r="AC12" s="1536"/>
      <c r="AD12" s="1536"/>
      <c r="AE12" s="1536"/>
      <c r="AF12" s="1536"/>
    </row>
    <row r="13" spans="2:32">
      <c r="B13" s="248" t="s">
        <v>267</v>
      </c>
      <c r="C13" s="92"/>
      <c r="D13" s="92"/>
      <c r="E13" s="92"/>
      <c r="F13" s="1537">
        <f>+'F1.3'!E11</f>
        <v>81.80903499999998</v>
      </c>
      <c r="G13" s="29"/>
      <c r="H13" s="29"/>
      <c r="I13" s="29"/>
      <c r="J13" s="29"/>
      <c r="K13" s="29"/>
      <c r="L13" s="29"/>
      <c r="M13" s="29"/>
      <c r="N13" s="29"/>
      <c r="O13" s="29"/>
      <c r="P13" s="29"/>
      <c r="Q13" s="29"/>
      <c r="R13" s="29"/>
      <c r="S13" s="29"/>
      <c r="T13" s="29"/>
      <c r="U13" s="29"/>
      <c r="V13" s="29"/>
      <c r="W13" s="29"/>
      <c r="X13" s="29"/>
      <c r="Y13" s="29"/>
      <c r="Z13" s="29"/>
      <c r="AA13" s="1532">
        <f>+K22/F13</f>
        <v>1.0007826758988176</v>
      </c>
      <c r="AB13" s="1532">
        <v>0</v>
      </c>
      <c r="AC13" s="1532">
        <f>+AA13</f>
        <v>1.0007826758988176</v>
      </c>
      <c r="AD13" s="29"/>
      <c r="AE13" s="29"/>
      <c r="AF13" s="29"/>
    </row>
    <row r="14" spans="2:32" s="27" customFormat="1">
      <c r="B14" s="105" t="s">
        <v>776</v>
      </c>
      <c r="C14" s="819">
        <f>+'F13'!C12</f>
        <v>43</v>
      </c>
      <c r="D14" s="819">
        <v>0</v>
      </c>
      <c r="E14" s="819">
        <f>+C14+D14</f>
        <v>43</v>
      </c>
      <c r="F14" s="1538"/>
      <c r="G14" s="466">
        <f>+'F13'!D12</f>
        <v>74.911516890000001</v>
      </c>
      <c r="H14" s="466">
        <v>0</v>
      </c>
      <c r="I14" s="466">
        <f>+G14+H14</f>
        <v>74.911516890000001</v>
      </c>
      <c r="J14" s="466">
        <v>0</v>
      </c>
      <c r="K14" s="466">
        <f>+I14+J14</f>
        <v>74.911516890000001</v>
      </c>
      <c r="L14" s="466">
        <f>+'F13'!M12</f>
        <v>53.259046220999991</v>
      </c>
      <c r="M14" s="468">
        <v>0</v>
      </c>
      <c r="N14" s="466">
        <f>+L14+M14</f>
        <v>53.259046220999991</v>
      </c>
      <c r="O14" s="466">
        <f>527794605.83/10^7</f>
        <v>52.779460582999995</v>
      </c>
      <c r="P14" s="468">
        <v>0</v>
      </c>
      <c r="Q14" s="466">
        <f>+O14+P14</f>
        <v>52.779460582999995</v>
      </c>
      <c r="R14" s="466">
        <v>0</v>
      </c>
      <c r="S14" s="466">
        <v>0</v>
      </c>
      <c r="T14" s="558">
        <f>+R14</f>
        <v>0</v>
      </c>
      <c r="U14" s="468">
        <v>0</v>
      </c>
      <c r="V14" s="468">
        <v>0</v>
      </c>
      <c r="W14" s="468">
        <v>0</v>
      </c>
      <c r="X14" s="466">
        <f>+L14-O14</f>
        <v>0.4795856379999961</v>
      </c>
      <c r="Y14" s="466">
        <v>0</v>
      </c>
      <c r="Z14" s="466">
        <f>+X14+Y14</f>
        <v>0.4795856379999961</v>
      </c>
      <c r="AA14" s="1533"/>
      <c r="AB14" s="1533"/>
      <c r="AC14" s="1533"/>
      <c r="AD14" s="689">
        <f>+O14/L14</f>
        <v>0.99099522668862783</v>
      </c>
      <c r="AE14" s="466">
        <v>0</v>
      </c>
      <c r="AF14" s="689">
        <f>+Q14/N14</f>
        <v>0.99099522668862783</v>
      </c>
    </row>
    <row r="15" spans="2:32">
      <c r="B15" s="105" t="s">
        <v>785</v>
      </c>
      <c r="C15" s="819">
        <f>+'F13'!C13</f>
        <v>0</v>
      </c>
      <c r="D15" s="819">
        <v>0</v>
      </c>
      <c r="E15" s="819">
        <f>+C15+D15</f>
        <v>0</v>
      </c>
      <c r="F15" s="1538"/>
      <c r="G15" s="466">
        <f>+'F13'!D13</f>
        <v>0.10615620000000001</v>
      </c>
      <c r="H15" s="466">
        <v>0</v>
      </c>
      <c r="I15" s="466">
        <f t="shared" ref="I15:I21" si="0">+G15+H15</f>
        <v>0.10615620000000001</v>
      </c>
      <c r="J15" s="560">
        <v>0</v>
      </c>
      <c r="K15" s="466">
        <f t="shared" ref="K15:K21" si="1">+I15+J15</f>
        <v>0.10615620000000001</v>
      </c>
      <c r="L15" s="466">
        <f>+'F13'!M13</f>
        <v>0.17465712700000002</v>
      </c>
      <c r="M15" s="466">
        <v>0</v>
      </c>
      <c r="N15" s="466">
        <f>+L15+M15</f>
        <v>0.17465712700000002</v>
      </c>
      <c r="O15" s="466">
        <f>1735558.5/10^7</f>
        <v>0.17355585000000001</v>
      </c>
      <c r="P15" s="466">
        <v>0</v>
      </c>
      <c r="Q15" s="466">
        <f>+O15+P15</f>
        <v>0.17355585000000001</v>
      </c>
      <c r="R15" s="466">
        <v>0</v>
      </c>
      <c r="S15" s="466">
        <v>0</v>
      </c>
      <c r="T15" s="558">
        <f t="shared" ref="T15:T21" si="2">+R15</f>
        <v>0</v>
      </c>
      <c r="U15" s="466">
        <v>0</v>
      </c>
      <c r="V15" s="466">
        <v>0</v>
      </c>
      <c r="W15" s="466">
        <v>0</v>
      </c>
      <c r="X15" s="466">
        <f t="shared" ref="X15:X21" si="3">+L15-O15</f>
        <v>1.1012770000000116E-3</v>
      </c>
      <c r="Y15" s="466">
        <v>0</v>
      </c>
      <c r="Z15" s="466">
        <f t="shared" ref="Z15:Z21" si="4">+X15+Y15</f>
        <v>1.1012770000000116E-3</v>
      </c>
      <c r="AA15" s="1533"/>
      <c r="AB15" s="1533"/>
      <c r="AC15" s="1533"/>
      <c r="AD15" s="689">
        <f t="shared" ref="AD15:AF22" si="5">+O15/L15</f>
        <v>0.99369463463119934</v>
      </c>
      <c r="AE15" s="466">
        <v>0</v>
      </c>
      <c r="AF15" s="689">
        <f>+Q15/N15</f>
        <v>0.99369463463119934</v>
      </c>
    </row>
    <row r="16" spans="2:32">
      <c r="B16" s="248" t="s">
        <v>270</v>
      </c>
      <c r="C16" s="1074"/>
      <c r="D16" s="1074"/>
      <c r="E16" s="1074"/>
      <c r="F16" s="1538"/>
      <c r="G16" s="560"/>
      <c r="H16" s="560"/>
      <c r="I16" s="466">
        <f t="shared" si="0"/>
        <v>0</v>
      </c>
      <c r="J16" s="560"/>
      <c r="K16" s="466"/>
      <c r="L16" s="560"/>
      <c r="M16" s="466"/>
      <c r="N16" s="466"/>
      <c r="O16" s="466"/>
      <c r="P16" s="466"/>
      <c r="Q16" s="466"/>
      <c r="R16" s="466">
        <v>0</v>
      </c>
      <c r="S16" s="466">
        <v>0</v>
      </c>
      <c r="T16" s="558">
        <f t="shared" si="2"/>
        <v>0</v>
      </c>
      <c r="U16" s="466">
        <v>0</v>
      </c>
      <c r="V16" s="466">
        <v>0</v>
      </c>
      <c r="W16" s="466">
        <v>0</v>
      </c>
      <c r="X16" s="466">
        <f t="shared" si="3"/>
        <v>0</v>
      </c>
      <c r="Y16" s="466">
        <v>0</v>
      </c>
      <c r="Z16" s="466">
        <f t="shared" si="4"/>
        <v>0</v>
      </c>
      <c r="AA16" s="1533"/>
      <c r="AB16" s="1533"/>
      <c r="AC16" s="1533"/>
      <c r="AD16" s="689"/>
      <c r="AE16" s="29"/>
      <c r="AF16" s="29"/>
    </row>
    <row r="17" spans="2:32">
      <c r="B17" s="550" t="s">
        <v>1017</v>
      </c>
      <c r="C17" s="819">
        <f>+'F13'!C16</f>
        <v>8</v>
      </c>
      <c r="D17" s="819">
        <v>0</v>
      </c>
      <c r="E17" s="819">
        <f t="shared" ref="E17:E21" si="6">+C17+D17</f>
        <v>8</v>
      </c>
      <c r="F17" s="1538"/>
      <c r="G17" s="466">
        <f>+'F13'!D16</f>
        <v>0.1121214</v>
      </c>
      <c r="H17" s="466">
        <v>0</v>
      </c>
      <c r="I17" s="466">
        <f t="shared" si="0"/>
        <v>0.1121214</v>
      </c>
      <c r="J17" s="560">
        <v>0</v>
      </c>
      <c r="K17" s="466">
        <f t="shared" si="1"/>
        <v>0.1121214</v>
      </c>
      <c r="L17" s="466">
        <f>+'F13'!M16</f>
        <v>9.0160339999999992E-2</v>
      </c>
      <c r="M17" s="466">
        <v>0</v>
      </c>
      <c r="N17" s="466">
        <f t="shared" ref="N17:N21" si="7">+L17+M17</f>
        <v>9.0160339999999992E-2</v>
      </c>
      <c r="O17" s="466">
        <f>827681.85/10^7</f>
        <v>8.2768184999999994E-2</v>
      </c>
      <c r="P17" s="466">
        <v>0</v>
      </c>
      <c r="Q17" s="466">
        <f t="shared" ref="Q17:Q21" si="8">+O17+P17</f>
        <v>8.2768184999999994E-2</v>
      </c>
      <c r="R17" s="466">
        <v>0</v>
      </c>
      <c r="S17" s="466">
        <v>0</v>
      </c>
      <c r="T17" s="558">
        <f t="shared" si="2"/>
        <v>0</v>
      </c>
      <c r="U17" s="466">
        <v>0</v>
      </c>
      <c r="V17" s="466">
        <v>0</v>
      </c>
      <c r="W17" s="466">
        <v>0</v>
      </c>
      <c r="X17" s="466">
        <f t="shared" si="3"/>
        <v>7.3921549999999975E-3</v>
      </c>
      <c r="Y17" s="466">
        <v>0</v>
      </c>
      <c r="Z17" s="466">
        <f t="shared" si="4"/>
        <v>7.3921549999999975E-3</v>
      </c>
      <c r="AA17" s="1533"/>
      <c r="AB17" s="1533"/>
      <c r="AC17" s="1533"/>
      <c r="AD17" s="689">
        <f t="shared" si="5"/>
        <v>0.91801101238083171</v>
      </c>
      <c r="AE17" s="466">
        <v>0</v>
      </c>
      <c r="AF17" s="689">
        <f>+Q17/N17</f>
        <v>0.91801101238083171</v>
      </c>
    </row>
    <row r="18" spans="2:32">
      <c r="B18" s="550" t="s">
        <v>1018</v>
      </c>
      <c r="C18" s="819">
        <f>+'F13'!C17</f>
        <v>8</v>
      </c>
      <c r="D18" s="819">
        <v>0</v>
      </c>
      <c r="E18" s="819">
        <f t="shared" si="6"/>
        <v>8</v>
      </c>
      <c r="F18" s="1538"/>
      <c r="G18" s="466">
        <f>+'F13'!D17</f>
        <v>0.29657299999999998</v>
      </c>
      <c r="H18" s="466">
        <v>0</v>
      </c>
      <c r="I18" s="466">
        <f t="shared" si="0"/>
        <v>0.29657299999999998</v>
      </c>
      <c r="J18" s="560">
        <v>0</v>
      </c>
      <c r="K18" s="466">
        <f t="shared" si="1"/>
        <v>0.29657299999999998</v>
      </c>
      <c r="L18" s="466">
        <f>+'F13'!M17</f>
        <v>0.27614866599999999</v>
      </c>
      <c r="M18" s="466">
        <v>0</v>
      </c>
      <c r="N18" s="466">
        <f t="shared" si="7"/>
        <v>0.27614866599999999</v>
      </c>
      <c r="O18" s="466">
        <f>2693183.03/10^7</f>
        <v>0.26931830299999998</v>
      </c>
      <c r="P18" s="466">
        <v>0</v>
      </c>
      <c r="Q18" s="466">
        <f t="shared" si="8"/>
        <v>0.26931830299999998</v>
      </c>
      <c r="R18" s="466">
        <v>0</v>
      </c>
      <c r="S18" s="466">
        <v>0</v>
      </c>
      <c r="T18" s="558">
        <f t="shared" si="2"/>
        <v>0</v>
      </c>
      <c r="U18" s="466">
        <v>0</v>
      </c>
      <c r="V18" s="466">
        <v>0</v>
      </c>
      <c r="W18" s="466">
        <v>0</v>
      </c>
      <c r="X18" s="466">
        <f t="shared" si="3"/>
        <v>6.830363000000006E-3</v>
      </c>
      <c r="Y18" s="466">
        <v>0</v>
      </c>
      <c r="Z18" s="466">
        <f t="shared" si="4"/>
        <v>6.830363000000006E-3</v>
      </c>
      <c r="AA18" s="1533"/>
      <c r="AB18" s="1533"/>
      <c r="AC18" s="1533"/>
      <c r="AD18" s="689">
        <f t="shared" si="5"/>
        <v>0.97526563101340491</v>
      </c>
      <c r="AE18" s="466">
        <v>0</v>
      </c>
      <c r="AF18" s="689">
        <f>+Q18/N18</f>
        <v>0.97526563101340491</v>
      </c>
    </row>
    <row r="19" spans="2:32">
      <c r="B19" s="550" t="s">
        <v>1019</v>
      </c>
      <c r="C19" s="819">
        <f>+'F13'!C18</f>
        <v>0</v>
      </c>
      <c r="D19" s="819">
        <v>0</v>
      </c>
      <c r="E19" s="819">
        <f t="shared" si="6"/>
        <v>0</v>
      </c>
      <c r="F19" s="1538"/>
      <c r="G19" s="466">
        <f>+'F13'!D18</f>
        <v>0</v>
      </c>
      <c r="H19" s="466">
        <v>0</v>
      </c>
      <c r="I19" s="466">
        <f t="shared" si="0"/>
        <v>0</v>
      </c>
      <c r="J19" s="560">
        <v>0</v>
      </c>
      <c r="K19" s="466">
        <f t="shared" si="1"/>
        <v>0</v>
      </c>
      <c r="L19" s="466">
        <f>+'F13'!M18</f>
        <v>0</v>
      </c>
      <c r="M19" s="466">
        <v>0</v>
      </c>
      <c r="N19" s="466">
        <f t="shared" si="7"/>
        <v>0</v>
      </c>
      <c r="O19" s="466"/>
      <c r="P19" s="466">
        <v>0</v>
      </c>
      <c r="Q19" s="466">
        <f t="shared" si="8"/>
        <v>0</v>
      </c>
      <c r="R19" s="466">
        <v>0</v>
      </c>
      <c r="S19" s="466">
        <v>0</v>
      </c>
      <c r="T19" s="558">
        <f t="shared" si="2"/>
        <v>0</v>
      </c>
      <c r="U19" s="466">
        <v>0</v>
      </c>
      <c r="V19" s="466">
        <v>0</v>
      </c>
      <c r="W19" s="466">
        <v>0</v>
      </c>
      <c r="X19" s="466">
        <f t="shared" si="3"/>
        <v>0</v>
      </c>
      <c r="Y19" s="466">
        <v>0</v>
      </c>
      <c r="Z19" s="466">
        <f t="shared" si="4"/>
        <v>0</v>
      </c>
      <c r="AA19" s="1533"/>
      <c r="AB19" s="1533"/>
      <c r="AC19" s="1533"/>
      <c r="AD19" s="689"/>
      <c r="AE19" s="466">
        <v>0</v>
      </c>
      <c r="AF19" s="689"/>
    </row>
    <row r="20" spans="2:32">
      <c r="B20" s="550" t="s">
        <v>1021</v>
      </c>
      <c r="C20" s="819">
        <f>+'F13'!C19</f>
        <v>17</v>
      </c>
      <c r="D20" s="819">
        <v>0</v>
      </c>
      <c r="E20" s="819">
        <f t="shared" si="6"/>
        <v>17</v>
      </c>
      <c r="F20" s="1538"/>
      <c r="G20" s="466">
        <f>+'F13'!D19</f>
        <v>0.28949809999999998</v>
      </c>
      <c r="H20" s="466">
        <v>0</v>
      </c>
      <c r="I20" s="466">
        <f t="shared" si="0"/>
        <v>0.28949809999999998</v>
      </c>
      <c r="J20" s="560">
        <v>0</v>
      </c>
      <c r="K20" s="466">
        <f t="shared" si="1"/>
        <v>0.28949809999999998</v>
      </c>
      <c r="L20" s="466">
        <f>+'F13'!M19</f>
        <v>0.14996304600000002</v>
      </c>
      <c r="M20" s="466">
        <v>0</v>
      </c>
      <c r="N20" s="466">
        <f t="shared" si="7"/>
        <v>0.14996304600000002</v>
      </c>
      <c r="O20" s="466">
        <f>1389565.35/10^7</f>
        <v>0.13895653500000002</v>
      </c>
      <c r="P20" s="466">
        <v>0</v>
      </c>
      <c r="Q20" s="466">
        <f t="shared" si="8"/>
        <v>0.13895653500000002</v>
      </c>
      <c r="R20" s="466">
        <v>0</v>
      </c>
      <c r="S20" s="466">
        <v>0</v>
      </c>
      <c r="T20" s="558">
        <f t="shared" si="2"/>
        <v>0</v>
      </c>
      <c r="U20" s="466">
        <v>0</v>
      </c>
      <c r="V20" s="466">
        <v>0</v>
      </c>
      <c r="W20" s="466">
        <v>0</v>
      </c>
      <c r="X20" s="466">
        <f t="shared" si="3"/>
        <v>1.1006510999999997E-2</v>
      </c>
      <c r="Y20" s="466">
        <v>0</v>
      </c>
      <c r="Z20" s="466">
        <f t="shared" si="4"/>
        <v>1.1006510999999997E-2</v>
      </c>
      <c r="AA20" s="1533"/>
      <c r="AB20" s="1533"/>
      <c r="AC20" s="1533"/>
      <c r="AD20" s="689">
        <f t="shared" si="5"/>
        <v>0.92660517845176338</v>
      </c>
      <c r="AE20" s="466">
        <v>0</v>
      </c>
      <c r="AF20" s="689">
        <f>+Q20/N20</f>
        <v>0.92660517845176338</v>
      </c>
    </row>
    <row r="21" spans="2:32">
      <c r="B21" s="550" t="s">
        <v>1020</v>
      </c>
      <c r="C21" s="819">
        <f>+'F13'!C20</f>
        <v>29</v>
      </c>
      <c r="D21" s="819">
        <v>0</v>
      </c>
      <c r="E21" s="819">
        <f t="shared" si="6"/>
        <v>29</v>
      </c>
      <c r="F21" s="1538"/>
      <c r="G21" s="466">
        <f>+'F13'!D20</f>
        <v>6.1571993699999998</v>
      </c>
      <c r="H21" s="466">
        <v>0</v>
      </c>
      <c r="I21" s="466">
        <f t="shared" si="0"/>
        <v>6.1571993699999998</v>
      </c>
      <c r="J21" s="560">
        <v>0</v>
      </c>
      <c r="K21" s="466">
        <f t="shared" si="1"/>
        <v>6.1571993699999998</v>
      </c>
      <c r="L21" s="466">
        <f>+'F13'!M20</f>
        <v>4.2211214349999997</v>
      </c>
      <c r="M21" s="466">
        <v>0</v>
      </c>
      <c r="N21" s="466">
        <f t="shared" si="7"/>
        <v>4.2211214349999997</v>
      </c>
      <c r="O21" s="466">
        <f>41586489.19/10^7</f>
        <v>4.158648919</v>
      </c>
      <c r="P21" s="466">
        <v>0</v>
      </c>
      <c r="Q21" s="466">
        <f t="shared" si="8"/>
        <v>4.158648919</v>
      </c>
      <c r="R21" s="466">
        <v>0</v>
      </c>
      <c r="S21" s="466">
        <v>0</v>
      </c>
      <c r="T21" s="558">
        <f t="shared" si="2"/>
        <v>0</v>
      </c>
      <c r="U21" s="466">
        <v>0</v>
      </c>
      <c r="V21" s="466">
        <v>0</v>
      </c>
      <c r="W21" s="466">
        <v>0</v>
      </c>
      <c r="X21" s="466">
        <f t="shared" si="3"/>
        <v>6.24725159999997E-2</v>
      </c>
      <c r="Y21" s="466">
        <v>0</v>
      </c>
      <c r="Z21" s="466">
        <f t="shared" si="4"/>
        <v>6.24725159999997E-2</v>
      </c>
      <c r="AA21" s="1534"/>
      <c r="AB21" s="1534"/>
      <c r="AC21" s="1534"/>
      <c r="AD21" s="689">
        <f t="shared" si="5"/>
        <v>0.98520001924559664</v>
      </c>
      <c r="AE21" s="466">
        <v>0</v>
      </c>
      <c r="AF21" s="689">
        <f>+Q21/N21</f>
        <v>0.98520001924559664</v>
      </c>
    </row>
    <row r="22" spans="2:32">
      <c r="B22" s="248" t="s">
        <v>115</v>
      </c>
      <c r="C22" s="1144">
        <f>+SUM(C14:C21)</f>
        <v>105</v>
      </c>
      <c r="D22" s="1144">
        <f>+SUM(D14:D21)</f>
        <v>0</v>
      </c>
      <c r="E22" s="1144">
        <f>+SUM(E14:E21)</f>
        <v>105</v>
      </c>
      <c r="F22" s="1538"/>
      <c r="G22" s="1144">
        <f t="shared" ref="G22:Q22" si="9">+SUM(G14:G21)</f>
        <v>81.873064960000008</v>
      </c>
      <c r="H22" s="1144">
        <f t="shared" si="9"/>
        <v>0</v>
      </c>
      <c r="I22" s="1144">
        <f t="shared" si="9"/>
        <v>81.873064960000008</v>
      </c>
      <c r="J22" s="1144">
        <f t="shared" si="9"/>
        <v>0</v>
      </c>
      <c r="K22" s="1144">
        <f t="shared" si="9"/>
        <v>81.873064960000008</v>
      </c>
      <c r="L22" s="1144">
        <f t="shared" si="9"/>
        <v>58.171096834999993</v>
      </c>
      <c r="M22" s="1144">
        <f t="shared" si="9"/>
        <v>0</v>
      </c>
      <c r="N22" s="1144">
        <f t="shared" si="9"/>
        <v>58.171096834999993</v>
      </c>
      <c r="O22" s="1144">
        <f t="shared" si="9"/>
        <v>57.602708374999992</v>
      </c>
      <c r="P22" s="1144">
        <f t="shared" si="9"/>
        <v>0</v>
      </c>
      <c r="Q22" s="1144">
        <f t="shared" si="9"/>
        <v>57.602708374999992</v>
      </c>
      <c r="R22" s="1144">
        <f t="shared" ref="R22:AE22" si="10">+SUM(R14:R21)</f>
        <v>0</v>
      </c>
      <c r="S22" s="1144">
        <f t="shared" si="10"/>
        <v>0</v>
      </c>
      <c r="T22" s="1144">
        <f t="shared" si="10"/>
        <v>0</v>
      </c>
      <c r="U22" s="1144">
        <f t="shared" si="10"/>
        <v>0</v>
      </c>
      <c r="V22" s="1144">
        <f t="shared" si="10"/>
        <v>0</v>
      </c>
      <c r="W22" s="1144">
        <f t="shared" si="10"/>
        <v>0</v>
      </c>
      <c r="X22" s="1144">
        <f t="shared" si="10"/>
        <v>0.56838845999999577</v>
      </c>
      <c r="Y22" s="1144">
        <f t="shared" si="10"/>
        <v>0</v>
      </c>
      <c r="Z22" s="1144">
        <f t="shared" si="10"/>
        <v>0.56838845999999577</v>
      </c>
      <c r="AA22" s="1145">
        <f>+AA13</f>
        <v>1.0007826758988176</v>
      </c>
      <c r="AB22" s="1145">
        <f>+AB13</f>
        <v>0</v>
      </c>
      <c r="AC22" s="1145">
        <f>+AC13</f>
        <v>1.0007826758988176</v>
      </c>
      <c r="AD22" s="1026">
        <f t="shared" si="5"/>
        <v>0.99022902281502079</v>
      </c>
      <c r="AE22" s="1144">
        <f t="shared" si="10"/>
        <v>0</v>
      </c>
      <c r="AF22" s="1026">
        <f t="shared" si="5"/>
        <v>0.99022902281502079</v>
      </c>
    </row>
    <row r="23" spans="2:32">
      <c r="B23" s="27" t="s">
        <v>513</v>
      </c>
    </row>
    <row r="24" spans="2:32">
      <c r="B24" s="18" t="s">
        <v>514</v>
      </c>
    </row>
    <row r="25" spans="2:32">
      <c r="B25" s="18" t="s">
        <v>610</v>
      </c>
    </row>
    <row r="27" spans="2:32">
      <c r="B27" s="71" t="s">
        <v>387</v>
      </c>
    </row>
    <row r="28" spans="2:32">
      <c r="B28" s="71"/>
    </row>
    <row r="29" spans="2:32" ht="15" customHeight="1">
      <c r="B29" s="1543" t="s">
        <v>252</v>
      </c>
      <c r="C29" s="1540" t="s">
        <v>494</v>
      </c>
      <c r="D29" s="1541"/>
      <c r="E29" s="1542"/>
      <c r="F29" s="1546" t="s">
        <v>495</v>
      </c>
      <c r="G29" s="1540" t="s">
        <v>496</v>
      </c>
      <c r="H29" s="1541"/>
      <c r="I29" s="1541"/>
      <c r="J29" s="1541"/>
      <c r="K29" s="1542"/>
      <c r="L29" s="1539" t="s">
        <v>497</v>
      </c>
      <c r="M29" s="1539"/>
      <c r="N29" s="1539"/>
      <c r="O29" s="1539" t="s">
        <v>498</v>
      </c>
      <c r="P29" s="1539"/>
      <c r="Q29" s="1539"/>
      <c r="R29" s="1539" t="s">
        <v>609</v>
      </c>
      <c r="S29" s="1539"/>
      <c r="T29" s="1539"/>
      <c r="U29" s="1539" t="s">
        <v>607</v>
      </c>
      <c r="V29" s="1539"/>
      <c r="W29" s="1539"/>
      <c r="X29" s="1539" t="s">
        <v>608</v>
      </c>
      <c r="Y29" s="1539"/>
      <c r="Z29" s="1539"/>
      <c r="AA29" s="1539" t="s">
        <v>510</v>
      </c>
      <c r="AB29" s="1539"/>
      <c r="AC29" s="1539"/>
      <c r="AD29" s="1539" t="s">
        <v>511</v>
      </c>
      <c r="AE29" s="1539"/>
      <c r="AF29" s="1539"/>
    </row>
    <row r="30" spans="2:32" ht="15" customHeight="1">
      <c r="B30" s="1544"/>
      <c r="C30" s="1535" t="s">
        <v>499</v>
      </c>
      <c r="D30" s="1535" t="s">
        <v>500</v>
      </c>
      <c r="E30" s="1535" t="s">
        <v>115</v>
      </c>
      <c r="F30" s="1547"/>
      <c r="G30" s="1540" t="s">
        <v>512</v>
      </c>
      <c r="H30" s="1541"/>
      <c r="I30" s="1542"/>
      <c r="J30" s="1535" t="s">
        <v>503</v>
      </c>
      <c r="K30" s="1535" t="s">
        <v>606</v>
      </c>
      <c r="L30" s="1535" t="s">
        <v>501</v>
      </c>
      <c r="M30" s="1535" t="s">
        <v>502</v>
      </c>
      <c r="N30" s="1535" t="s">
        <v>115</v>
      </c>
      <c r="O30" s="1535" t="s">
        <v>501</v>
      </c>
      <c r="P30" s="1535" t="s">
        <v>502</v>
      </c>
      <c r="Q30" s="1535" t="s">
        <v>115</v>
      </c>
      <c r="R30" s="1535" t="s">
        <v>501</v>
      </c>
      <c r="S30" s="1535" t="s">
        <v>502</v>
      </c>
      <c r="T30" s="1535" t="s">
        <v>115</v>
      </c>
      <c r="U30" s="1535" t="s">
        <v>501</v>
      </c>
      <c r="V30" s="1535" t="s">
        <v>502</v>
      </c>
      <c r="W30" s="1535" t="s">
        <v>115</v>
      </c>
      <c r="X30" s="1535" t="s">
        <v>501</v>
      </c>
      <c r="Y30" s="1535" t="s">
        <v>502</v>
      </c>
      <c r="Z30" s="1535" t="s">
        <v>115</v>
      </c>
      <c r="AA30" s="1535" t="s">
        <v>501</v>
      </c>
      <c r="AB30" s="1535" t="s">
        <v>502</v>
      </c>
      <c r="AC30" s="1535" t="s">
        <v>115</v>
      </c>
      <c r="AD30" s="1535" t="s">
        <v>501</v>
      </c>
      <c r="AE30" s="1535" t="s">
        <v>502</v>
      </c>
      <c r="AF30" s="1535" t="s">
        <v>115</v>
      </c>
    </row>
    <row r="31" spans="2:32" ht="42.75">
      <c r="B31" s="1545"/>
      <c r="C31" s="1536"/>
      <c r="D31" s="1536"/>
      <c r="E31" s="1536"/>
      <c r="F31" s="1548"/>
      <c r="G31" s="334" t="s">
        <v>527</v>
      </c>
      <c r="H31" s="334" t="s">
        <v>528</v>
      </c>
      <c r="I31" s="334" t="s">
        <v>115</v>
      </c>
      <c r="J31" s="1536"/>
      <c r="K31" s="1536"/>
      <c r="L31" s="1536"/>
      <c r="M31" s="1536"/>
      <c r="N31" s="1536"/>
      <c r="O31" s="1536"/>
      <c r="P31" s="1536"/>
      <c r="Q31" s="1536"/>
      <c r="R31" s="1536"/>
      <c r="S31" s="1536"/>
      <c r="T31" s="1536"/>
      <c r="U31" s="1536"/>
      <c r="V31" s="1536"/>
      <c r="W31" s="1536"/>
      <c r="X31" s="1536"/>
      <c r="Y31" s="1536"/>
      <c r="Z31" s="1536"/>
      <c r="AA31" s="1536"/>
      <c r="AB31" s="1536"/>
      <c r="AC31" s="1536"/>
      <c r="AD31" s="1536"/>
      <c r="AE31" s="1536"/>
      <c r="AF31" s="1536"/>
    </row>
    <row r="32" spans="2:32">
      <c r="B32" s="248" t="s">
        <v>267</v>
      </c>
      <c r="C32" s="92"/>
      <c r="D32" s="92"/>
      <c r="E32" s="92"/>
      <c r="F32" s="1537">
        <f>+'F1.3'!E18</f>
        <v>83.554100000000005</v>
      </c>
      <c r="G32" s="29"/>
      <c r="H32" s="29"/>
      <c r="I32" s="29"/>
      <c r="J32" s="29"/>
      <c r="K32" s="29"/>
      <c r="L32" s="29"/>
      <c r="M32" s="29"/>
      <c r="N32" s="29"/>
      <c r="O32" s="29"/>
      <c r="P32" s="29"/>
      <c r="Q32" s="29"/>
      <c r="R32" s="29"/>
      <c r="S32" s="29"/>
      <c r="T32" s="29"/>
      <c r="U32" s="29"/>
      <c r="V32" s="29"/>
      <c r="W32" s="29"/>
      <c r="X32" s="29"/>
      <c r="Y32" s="29"/>
      <c r="Z32" s="29"/>
      <c r="AA32" s="1532">
        <f>+K41/F32</f>
        <v>0.99197069611186028</v>
      </c>
      <c r="AB32" s="1532">
        <v>0</v>
      </c>
      <c r="AC32" s="1532">
        <f>+AA32</f>
        <v>0.99197069611186028</v>
      </c>
      <c r="AD32" s="29"/>
      <c r="AE32" s="29"/>
      <c r="AF32" s="29"/>
    </row>
    <row r="33" spans="2:32">
      <c r="B33" s="105" t="s">
        <v>776</v>
      </c>
      <c r="C33" s="819">
        <f>+'F13'!C36</f>
        <v>42</v>
      </c>
      <c r="D33" s="819">
        <v>0</v>
      </c>
      <c r="E33" s="819">
        <f>+C33+D33</f>
        <v>42</v>
      </c>
      <c r="F33" s="1538"/>
      <c r="G33" s="466">
        <f>+'F13'!D36</f>
        <v>74.873302989999999</v>
      </c>
      <c r="H33" s="819">
        <v>0</v>
      </c>
      <c r="I33" s="819">
        <f>+G33+H33</f>
        <v>74.873302989999999</v>
      </c>
      <c r="J33" s="819">
        <v>0</v>
      </c>
      <c r="K33" s="466">
        <f>+I33+J33</f>
        <v>74.873302989999999</v>
      </c>
      <c r="L33" s="466">
        <f>+'F13'!M36</f>
        <v>48.021805466939995</v>
      </c>
      <c r="M33" s="819">
        <v>0</v>
      </c>
      <c r="N33" s="466">
        <f>+L33+M33</f>
        <v>48.021805466939995</v>
      </c>
      <c r="O33" s="466">
        <f>474959076.06/10^7</f>
        <v>47.495907606000003</v>
      </c>
      <c r="P33" s="468">
        <v>0</v>
      </c>
      <c r="Q33" s="466">
        <f>+O33+P33</f>
        <v>47.495907606000003</v>
      </c>
      <c r="R33" s="468">
        <v>0</v>
      </c>
      <c r="S33" s="468">
        <v>0</v>
      </c>
      <c r="T33" s="468">
        <v>0</v>
      </c>
      <c r="U33" s="552">
        <f>+X14</f>
        <v>0.4795856379999961</v>
      </c>
      <c r="V33" s="468">
        <v>0</v>
      </c>
      <c r="W33" s="466">
        <f>+U33+V33</f>
        <v>0.4795856379999961</v>
      </c>
      <c r="X33" s="466">
        <f>+L33-O33</f>
        <v>0.5258978609399918</v>
      </c>
      <c r="Y33" s="690">
        <f t="shared" ref="Y33:Y40" si="11">+M33-P33</f>
        <v>0</v>
      </c>
      <c r="Z33" s="466">
        <f>+X33+Y33</f>
        <v>0.5258978609399918</v>
      </c>
      <c r="AA33" s="1533"/>
      <c r="AB33" s="1533"/>
      <c r="AC33" s="1533"/>
      <c r="AD33" s="689">
        <f>+O33/L33</f>
        <v>0.9890487694948904</v>
      </c>
      <c r="AE33" s="466">
        <v>0</v>
      </c>
      <c r="AF33" s="689">
        <f>+Q33/N33</f>
        <v>0.9890487694948904</v>
      </c>
    </row>
    <row r="34" spans="2:32">
      <c r="B34" s="105" t="s">
        <v>785</v>
      </c>
      <c r="C34" s="819">
        <f>+'F13'!C37</f>
        <v>0</v>
      </c>
      <c r="D34" s="819">
        <v>0</v>
      </c>
      <c r="E34" s="819">
        <f>+C34+D34</f>
        <v>0</v>
      </c>
      <c r="F34" s="1538"/>
      <c r="G34" s="466">
        <f>+'F13'!D37</f>
        <v>0</v>
      </c>
      <c r="H34" s="819">
        <v>0</v>
      </c>
      <c r="I34" s="819">
        <f>+G34+H34</f>
        <v>0</v>
      </c>
      <c r="J34" s="819">
        <v>0</v>
      </c>
      <c r="K34" s="466">
        <f t="shared" ref="K34:K40" si="12">+I34+J34</f>
        <v>0</v>
      </c>
      <c r="L34" s="466">
        <f>+'F13'!M37</f>
        <v>0</v>
      </c>
      <c r="M34" s="819">
        <v>0</v>
      </c>
      <c r="N34" s="466">
        <f t="shared" ref="N34:N40" si="13">+L34+M34</f>
        <v>0</v>
      </c>
      <c r="O34" s="466"/>
      <c r="P34" s="466">
        <v>0</v>
      </c>
      <c r="Q34" s="466">
        <f>+O34+P34</f>
        <v>0</v>
      </c>
      <c r="R34" s="468">
        <v>0</v>
      </c>
      <c r="S34" s="468">
        <v>0</v>
      </c>
      <c r="T34" s="468">
        <v>0</v>
      </c>
      <c r="U34" s="552">
        <f t="shared" ref="U34:U40" si="14">+X15</f>
        <v>1.1012770000000116E-3</v>
      </c>
      <c r="V34" s="468">
        <v>0</v>
      </c>
      <c r="W34" s="466">
        <f t="shared" ref="W34:W40" si="15">+U34+V34</f>
        <v>1.1012770000000116E-3</v>
      </c>
      <c r="X34" s="466">
        <f t="shared" ref="X34:X40" si="16">+L34-O34</f>
        <v>0</v>
      </c>
      <c r="Y34" s="690">
        <f t="shared" si="11"/>
        <v>0</v>
      </c>
      <c r="Z34" s="466">
        <f t="shared" ref="Z34:Z40" si="17">+X34+Y34</f>
        <v>0</v>
      </c>
      <c r="AA34" s="1533"/>
      <c r="AB34" s="1533"/>
      <c r="AC34" s="1533"/>
      <c r="AD34" s="689">
        <v>0</v>
      </c>
      <c r="AE34" s="466">
        <v>0</v>
      </c>
      <c r="AF34" s="689">
        <v>0</v>
      </c>
    </row>
    <row r="35" spans="2:32">
      <c r="B35" s="248" t="s">
        <v>270</v>
      </c>
      <c r="C35" s="1074"/>
      <c r="D35" s="1074"/>
      <c r="E35" s="1074"/>
      <c r="F35" s="1538"/>
      <c r="G35" s="560"/>
      <c r="H35" s="1074"/>
      <c r="I35" s="1074"/>
      <c r="J35" s="1074"/>
      <c r="K35" s="466">
        <f t="shared" si="12"/>
        <v>0</v>
      </c>
      <c r="L35" s="560"/>
      <c r="M35" s="1074"/>
      <c r="N35" s="466">
        <f t="shared" si="13"/>
        <v>0</v>
      </c>
      <c r="O35" s="466"/>
      <c r="P35" s="466"/>
      <c r="Q35" s="466"/>
      <c r="R35" s="468">
        <v>0</v>
      </c>
      <c r="S35" s="468">
        <v>0</v>
      </c>
      <c r="T35" s="468">
        <v>0</v>
      </c>
      <c r="U35" s="552">
        <f t="shared" si="14"/>
        <v>0</v>
      </c>
      <c r="V35" s="468">
        <v>0</v>
      </c>
      <c r="W35" s="466">
        <f t="shared" si="15"/>
        <v>0</v>
      </c>
      <c r="X35" s="466">
        <f t="shared" si="16"/>
        <v>0</v>
      </c>
      <c r="Y35" s="690">
        <f t="shared" si="11"/>
        <v>0</v>
      </c>
      <c r="Z35" s="466">
        <f t="shared" si="17"/>
        <v>0</v>
      </c>
      <c r="AA35" s="1533"/>
      <c r="AB35" s="1533"/>
      <c r="AC35" s="1533"/>
      <c r="AD35" s="689"/>
      <c r="AE35" s="29"/>
      <c r="AF35" s="29"/>
    </row>
    <row r="36" spans="2:32">
      <c r="B36" s="105" t="s">
        <v>787</v>
      </c>
      <c r="C36" s="819">
        <f>+'F13'!C40</f>
        <v>0</v>
      </c>
      <c r="D36" s="819">
        <v>0</v>
      </c>
      <c r="E36" s="819">
        <f t="shared" ref="E36:E40" si="18">+C36+D36</f>
        <v>0</v>
      </c>
      <c r="F36" s="1538"/>
      <c r="G36" s="466">
        <f>+'F13'!D40</f>
        <v>0</v>
      </c>
      <c r="H36" s="819">
        <v>0</v>
      </c>
      <c r="I36" s="819">
        <f t="shared" ref="I36:I40" si="19">+G36+H36</f>
        <v>0</v>
      </c>
      <c r="J36" s="819">
        <v>0</v>
      </c>
      <c r="K36" s="466">
        <f t="shared" si="12"/>
        <v>0</v>
      </c>
      <c r="L36" s="466">
        <f>+'F13'!M40</f>
        <v>0</v>
      </c>
      <c r="M36" s="819">
        <v>0</v>
      </c>
      <c r="N36" s="466">
        <f t="shared" si="13"/>
        <v>0</v>
      </c>
      <c r="O36" s="466"/>
      <c r="P36" s="466">
        <v>0</v>
      </c>
      <c r="Q36" s="466">
        <f t="shared" ref="Q36:Q40" si="20">+O36+P36</f>
        <v>0</v>
      </c>
      <c r="R36" s="468">
        <v>0</v>
      </c>
      <c r="S36" s="468">
        <v>0</v>
      </c>
      <c r="T36" s="468">
        <v>0</v>
      </c>
      <c r="U36" s="552">
        <f t="shared" si="14"/>
        <v>7.3921549999999975E-3</v>
      </c>
      <c r="V36" s="468">
        <v>0</v>
      </c>
      <c r="W36" s="466">
        <f t="shared" si="15"/>
        <v>7.3921549999999975E-3</v>
      </c>
      <c r="X36" s="466">
        <f t="shared" si="16"/>
        <v>0</v>
      </c>
      <c r="Y36" s="690">
        <f t="shared" si="11"/>
        <v>0</v>
      </c>
      <c r="Z36" s="466">
        <f t="shared" si="17"/>
        <v>0</v>
      </c>
      <c r="AA36" s="1533"/>
      <c r="AB36" s="1533"/>
      <c r="AC36" s="1533"/>
      <c r="AD36" s="689">
        <v>0</v>
      </c>
      <c r="AE36" s="466">
        <v>0</v>
      </c>
      <c r="AF36" s="689">
        <v>0</v>
      </c>
    </row>
    <row r="37" spans="2:32">
      <c r="B37" s="105" t="s">
        <v>777</v>
      </c>
      <c r="C37" s="819">
        <f>+'F13'!C41</f>
        <v>27</v>
      </c>
      <c r="D37" s="819">
        <v>0</v>
      </c>
      <c r="E37" s="819">
        <f t="shared" si="18"/>
        <v>27</v>
      </c>
      <c r="F37" s="1538"/>
      <c r="G37" s="466">
        <f>+'F13'!D41</f>
        <v>0.31616228000000002</v>
      </c>
      <c r="H37" s="819">
        <v>0</v>
      </c>
      <c r="I37" s="819">
        <f t="shared" si="19"/>
        <v>0.31616228000000002</v>
      </c>
      <c r="J37" s="819">
        <v>0</v>
      </c>
      <c r="K37" s="466">
        <f t="shared" si="12"/>
        <v>0.31616228000000002</v>
      </c>
      <c r="L37" s="466">
        <f>+'F13'!M41</f>
        <v>0.19475307368000006</v>
      </c>
      <c r="M37" s="819">
        <v>0</v>
      </c>
      <c r="N37" s="466">
        <f t="shared" si="13"/>
        <v>0.19475307368000006</v>
      </c>
      <c r="O37" s="466">
        <f>1948365.14/10^7</f>
        <v>0.19483651399999999</v>
      </c>
      <c r="P37" s="466">
        <v>0</v>
      </c>
      <c r="Q37" s="466">
        <f t="shared" si="20"/>
        <v>0.19483651399999999</v>
      </c>
      <c r="R37" s="468">
        <v>0</v>
      </c>
      <c r="S37" s="468">
        <v>0</v>
      </c>
      <c r="T37" s="468">
        <v>0</v>
      </c>
      <c r="U37" s="552">
        <f t="shared" si="14"/>
        <v>6.830363000000006E-3</v>
      </c>
      <c r="V37" s="468">
        <v>0</v>
      </c>
      <c r="W37" s="466">
        <f t="shared" si="15"/>
        <v>6.830363000000006E-3</v>
      </c>
      <c r="X37" s="466">
        <f t="shared" si="16"/>
        <v>-8.3440319999933399E-5</v>
      </c>
      <c r="Y37" s="690">
        <f t="shared" si="11"/>
        <v>0</v>
      </c>
      <c r="Z37" s="466">
        <f t="shared" si="17"/>
        <v>-8.3440319999933399E-5</v>
      </c>
      <c r="AA37" s="1533"/>
      <c r="AB37" s="1533"/>
      <c r="AC37" s="1533"/>
      <c r="AD37" s="689">
        <f t="shared" ref="AD37" si="21">+O37/L37</f>
        <v>1.0004284416077409</v>
      </c>
      <c r="AE37" s="466">
        <v>0</v>
      </c>
      <c r="AF37" s="689">
        <f>+Q37/N37</f>
        <v>1.0004284416077409</v>
      </c>
    </row>
    <row r="38" spans="2:32">
      <c r="B38" s="105" t="s">
        <v>778</v>
      </c>
      <c r="C38" s="819">
        <f>+'F13'!C42</f>
        <v>8</v>
      </c>
      <c r="D38" s="819">
        <v>0</v>
      </c>
      <c r="E38" s="819">
        <f t="shared" si="18"/>
        <v>8</v>
      </c>
      <c r="F38" s="1538"/>
      <c r="G38" s="466">
        <f>+'F13'!D42</f>
        <v>0.46311320000000006</v>
      </c>
      <c r="H38" s="819">
        <v>0</v>
      </c>
      <c r="I38" s="819">
        <f t="shared" si="19"/>
        <v>0.46311320000000006</v>
      </c>
      <c r="J38" s="819">
        <v>0</v>
      </c>
      <c r="K38" s="466">
        <f t="shared" si="12"/>
        <v>0.46311320000000006</v>
      </c>
      <c r="L38" s="466">
        <f>+'F13'!M42</f>
        <v>0.35001923439999999</v>
      </c>
      <c r="M38" s="819">
        <v>0</v>
      </c>
      <c r="N38" s="466">
        <f t="shared" si="13"/>
        <v>0.35001923439999999</v>
      </c>
      <c r="O38" s="466">
        <f>3481148.87/10^7</f>
        <v>0.34811488699999998</v>
      </c>
      <c r="P38" s="466">
        <v>0</v>
      </c>
      <c r="Q38" s="466">
        <f t="shared" si="20"/>
        <v>0.34811488699999998</v>
      </c>
      <c r="R38" s="468">
        <v>0</v>
      </c>
      <c r="S38" s="468">
        <v>0</v>
      </c>
      <c r="T38" s="468">
        <v>0</v>
      </c>
      <c r="U38" s="552">
        <f t="shared" si="14"/>
        <v>0</v>
      </c>
      <c r="V38" s="468">
        <v>0</v>
      </c>
      <c r="W38" s="466">
        <f t="shared" si="15"/>
        <v>0</v>
      </c>
      <c r="X38" s="466">
        <f t="shared" si="16"/>
        <v>1.904347400000006E-3</v>
      </c>
      <c r="Y38" s="690">
        <f t="shared" si="11"/>
        <v>0</v>
      </c>
      <c r="Z38" s="466">
        <f t="shared" si="17"/>
        <v>1.904347400000006E-3</v>
      </c>
      <c r="AA38" s="1533"/>
      <c r="AB38" s="1533"/>
      <c r="AC38" s="1533"/>
      <c r="AD38" s="689"/>
      <c r="AE38" s="466">
        <v>0</v>
      </c>
      <c r="AF38" s="689"/>
    </row>
    <row r="39" spans="2:32">
      <c r="B39" s="249" t="s">
        <v>779</v>
      </c>
      <c r="C39" s="819">
        <f>+'F13'!C43</f>
        <v>1</v>
      </c>
      <c r="D39" s="819">
        <v>0</v>
      </c>
      <c r="E39" s="819">
        <f t="shared" si="18"/>
        <v>1</v>
      </c>
      <c r="F39" s="1538"/>
      <c r="G39" s="466">
        <f>+'F13'!D43</f>
        <v>0.18799069999999998</v>
      </c>
      <c r="H39" s="819">
        <v>0</v>
      </c>
      <c r="I39" s="819">
        <f t="shared" si="19"/>
        <v>0.18799069999999998</v>
      </c>
      <c r="J39" s="819">
        <v>0</v>
      </c>
      <c r="K39" s="466">
        <f t="shared" si="12"/>
        <v>0.18799069999999998</v>
      </c>
      <c r="L39" s="466">
        <f>+'F13'!M43</f>
        <v>9.729835919999999E-2</v>
      </c>
      <c r="M39" s="819">
        <v>0</v>
      </c>
      <c r="N39" s="466">
        <f t="shared" si="13"/>
        <v>9.729835919999999E-2</v>
      </c>
      <c r="O39" s="466">
        <f>961063.71/10^7</f>
        <v>9.6106370999999996E-2</v>
      </c>
      <c r="P39" s="466">
        <v>0</v>
      </c>
      <c r="Q39" s="466">
        <f t="shared" si="20"/>
        <v>9.6106370999999996E-2</v>
      </c>
      <c r="R39" s="468">
        <v>0</v>
      </c>
      <c r="S39" s="468">
        <v>0</v>
      </c>
      <c r="T39" s="468">
        <v>0</v>
      </c>
      <c r="U39" s="552">
        <f t="shared" si="14"/>
        <v>1.1006510999999997E-2</v>
      </c>
      <c r="V39" s="468">
        <v>0</v>
      </c>
      <c r="W39" s="466">
        <f t="shared" si="15"/>
        <v>1.1006510999999997E-2</v>
      </c>
      <c r="X39" s="466">
        <f t="shared" si="16"/>
        <v>1.1919881999999937E-3</v>
      </c>
      <c r="Y39" s="690">
        <f t="shared" si="11"/>
        <v>0</v>
      </c>
      <c r="Z39" s="466">
        <f t="shared" si="17"/>
        <v>1.1919881999999937E-3</v>
      </c>
      <c r="AA39" s="1533"/>
      <c r="AB39" s="1533"/>
      <c r="AC39" s="1533"/>
      <c r="AD39" s="689">
        <f t="shared" ref="AD39:AD41" si="22">+O39/L39</f>
        <v>0.98774914387251056</v>
      </c>
      <c r="AE39" s="466">
        <v>0</v>
      </c>
      <c r="AF39" s="689">
        <f>+Q39/N39</f>
        <v>0.98774914387251056</v>
      </c>
    </row>
    <row r="40" spans="2:32">
      <c r="B40" s="105" t="s">
        <v>780</v>
      </c>
      <c r="C40" s="819">
        <f>+'F13'!C44</f>
        <v>28</v>
      </c>
      <c r="D40" s="819">
        <v>0</v>
      </c>
      <c r="E40" s="819">
        <f t="shared" si="18"/>
        <v>28</v>
      </c>
      <c r="F40" s="1538"/>
      <c r="G40" s="466">
        <f>+'F13'!D44</f>
        <v>7.0426495700000009</v>
      </c>
      <c r="H40" s="819">
        <v>0</v>
      </c>
      <c r="I40" s="819">
        <f t="shared" si="19"/>
        <v>7.0426495700000009</v>
      </c>
      <c r="J40" s="819">
        <v>0</v>
      </c>
      <c r="K40" s="466">
        <f t="shared" si="12"/>
        <v>7.0426495700000009</v>
      </c>
      <c r="L40" s="466">
        <f>+'F13'!M44</f>
        <v>4.2970708744200001</v>
      </c>
      <c r="M40" s="819">
        <v>0</v>
      </c>
      <c r="N40" s="466">
        <f t="shared" si="13"/>
        <v>4.2970708744200001</v>
      </c>
      <c r="O40" s="466">
        <f>43314870.74/10^7</f>
        <v>4.331487074</v>
      </c>
      <c r="P40" s="466">
        <v>0</v>
      </c>
      <c r="Q40" s="466">
        <f t="shared" si="20"/>
        <v>4.331487074</v>
      </c>
      <c r="R40" s="468">
        <v>0</v>
      </c>
      <c r="S40" s="468">
        <v>0</v>
      </c>
      <c r="T40" s="468">
        <v>0</v>
      </c>
      <c r="U40" s="552">
        <f t="shared" si="14"/>
        <v>6.24725159999997E-2</v>
      </c>
      <c r="V40" s="468">
        <v>0</v>
      </c>
      <c r="W40" s="466">
        <f t="shared" si="15"/>
        <v>6.24725159999997E-2</v>
      </c>
      <c r="X40" s="466">
        <f t="shared" si="16"/>
        <v>-3.4416199579999862E-2</v>
      </c>
      <c r="Y40" s="690">
        <f t="shared" si="11"/>
        <v>0</v>
      </c>
      <c r="Z40" s="466">
        <f t="shared" si="17"/>
        <v>-3.4416199579999862E-2</v>
      </c>
      <c r="AA40" s="1534"/>
      <c r="AB40" s="1534"/>
      <c r="AC40" s="1534"/>
      <c r="AD40" s="689">
        <f t="shared" si="22"/>
        <v>1.0080092231628934</v>
      </c>
      <c r="AE40" s="466">
        <v>0</v>
      </c>
      <c r="AF40" s="689">
        <f>+Q40/N40</f>
        <v>1.0080092231628934</v>
      </c>
    </row>
    <row r="41" spans="2:32">
      <c r="B41" s="248" t="s">
        <v>115</v>
      </c>
      <c r="C41" s="1074">
        <f>+SUM(C33:C40)</f>
        <v>106</v>
      </c>
      <c r="D41" s="1074">
        <f>+SUM(D33:D40)</f>
        <v>0</v>
      </c>
      <c r="E41" s="1074">
        <f>+SUM(E33:E40)</f>
        <v>106</v>
      </c>
      <c r="F41" s="1538"/>
      <c r="G41" s="1074">
        <f>+SUM(G33:G40)</f>
        <v>82.88321873999999</v>
      </c>
      <c r="H41" s="1074">
        <f>+SUM(H33:H40)</f>
        <v>0</v>
      </c>
      <c r="I41" s="1074">
        <f>+SUM(I33:I40)</f>
        <v>82.88321873999999</v>
      </c>
      <c r="J41" s="1074">
        <f t="shared" ref="J41:Z41" si="23">+SUM(J33:J40)</f>
        <v>0</v>
      </c>
      <c r="K41" s="1074">
        <f t="shared" si="23"/>
        <v>82.88321873999999</v>
      </c>
      <c r="L41" s="1074">
        <f t="shared" si="23"/>
        <v>52.960947008639998</v>
      </c>
      <c r="M41" s="1074">
        <f t="shared" si="23"/>
        <v>0</v>
      </c>
      <c r="N41" s="1074">
        <f t="shared" si="23"/>
        <v>52.960947008639998</v>
      </c>
      <c r="O41" s="1074">
        <f t="shared" si="23"/>
        <v>52.466452452000006</v>
      </c>
      <c r="P41" s="1144">
        <f>+SUM(P33:P40)</f>
        <v>0</v>
      </c>
      <c r="Q41" s="1144">
        <f>+SUM(Q33:Q40)</f>
        <v>52.466452452000006</v>
      </c>
      <c r="R41" s="1074">
        <f t="shared" si="23"/>
        <v>0</v>
      </c>
      <c r="S41" s="1074">
        <f t="shared" si="23"/>
        <v>0</v>
      </c>
      <c r="T41" s="1074">
        <f t="shared" si="23"/>
        <v>0</v>
      </c>
      <c r="U41" s="1074">
        <f t="shared" si="23"/>
        <v>0.56838845999999577</v>
      </c>
      <c r="V41" s="1074">
        <f t="shared" si="23"/>
        <v>0</v>
      </c>
      <c r="W41" s="1074">
        <f t="shared" si="23"/>
        <v>0.56838845999999577</v>
      </c>
      <c r="X41" s="1074">
        <f t="shared" si="23"/>
        <v>0.49449455663999198</v>
      </c>
      <c r="Y41" s="1074">
        <f t="shared" si="23"/>
        <v>0</v>
      </c>
      <c r="Z41" s="1074">
        <f t="shared" si="23"/>
        <v>0.49449455663999198</v>
      </c>
      <c r="AA41" s="1124">
        <f>+AA32</f>
        <v>0.99197069611186028</v>
      </c>
      <c r="AB41" s="1124">
        <f>+AB32</f>
        <v>0</v>
      </c>
      <c r="AC41" s="1124">
        <f>+AC32</f>
        <v>0.99197069611186028</v>
      </c>
      <c r="AD41" s="1026">
        <f t="shared" si="22"/>
        <v>0.99066303409266221</v>
      </c>
      <c r="AE41" s="1144">
        <f t="shared" ref="AE41" si="24">+SUM(AE33:AE40)</f>
        <v>0</v>
      </c>
      <c r="AF41" s="1026">
        <f t="shared" ref="AF41" si="25">+Q41/N41</f>
        <v>0.99066303409266221</v>
      </c>
    </row>
    <row r="42" spans="2:32">
      <c r="B42" s="27" t="s">
        <v>513</v>
      </c>
    </row>
    <row r="43" spans="2:32">
      <c r="B43" s="18" t="s">
        <v>514</v>
      </c>
    </row>
    <row r="44" spans="2:32">
      <c r="B44" s="18" t="s">
        <v>610</v>
      </c>
    </row>
  </sheetData>
  <mergeCells count="84">
    <mergeCell ref="AD30:AD31"/>
    <mergeCell ref="AE30:AE31"/>
    <mergeCell ref="AF30:AF31"/>
    <mergeCell ref="T30:T31"/>
    <mergeCell ref="U30:U31"/>
    <mergeCell ref="V30:V31"/>
    <mergeCell ref="W30:W31"/>
    <mergeCell ref="AA30:AA31"/>
    <mergeCell ref="X30:X31"/>
    <mergeCell ref="Y30:Y31"/>
    <mergeCell ref="Z30:Z31"/>
    <mergeCell ref="O30:O31"/>
    <mergeCell ref="P30:P31"/>
    <mergeCell ref="Q30:Q31"/>
    <mergeCell ref="R30:R31"/>
    <mergeCell ref="S30:S31"/>
    <mergeCell ref="O29:Q29"/>
    <mergeCell ref="R29:T29"/>
    <mergeCell ref="U29:W29"/>
    <mergeCell ref="AA29:AC29"/>
    <mergeCell ref="AD29:AF29"/>
    <mergeCell ref="B29:B31"/>
    <mergeCell ref="C29:E29"/>
    <mergeCell ref="F29:F31"/>
    <mergeCell ref="G29:K29"/>
    <mergeCell ref="L29:N29"/>
    <mergeCell ref="C30:C31"/>
    <mergeCell ref="D30:D31"/>
    <mergeCell ref="E30:E31"/>
    <mergeCell ref="G30:I30"/>
    <mergeCell ref="J30:J31"/>
    <mergeCell ref="K30:K31"/>
    <mergeCell ref="L30:L31"/>
    <mergeCell ref="M30:M31"/>
    <mergeCell ref="N30:N31"/>
    <mergeCell ref="AB11:AB12"/>
    <mergeCell ref="AC11:AC12"/>
    <mergeCell ref="AD11:AD12"/>
    <mergeCell ref="AE11:AE12"/>
    <mergeCell ref="AF11:AF12"/>
    <mergeCell ref="T11:T12"/>
    <mergeCell ref="U11:U12"/>
    <mergeCell ref="V11:V12"/>
    <mergeCell ref="W11:W12"/>
    <mergeCell ref="AA11:AA12"/>
    <mergeCell ref="O11:O12"/>
    <mergeCell ref="P11:P12"/>
    <mergeCell ref="Q11:Q12"/>
    <mergeCell ref="R11:R12"/>
    <mergeCell ref="S11:S12"/>
    <mergeCell ref="C10:E10"/>
    <mergeCell ref="G10:K10"/>
    <mergeCell ref="L10:N10"/>
    <mergeCell ref="B10:B12"/>
    <mergeCell ref="C11:C12"/>
    <mergeCell ref="D11:D12"/>
    <mergeCell ref="E11:E12"/>
    <mergeCell ref="F10:F12"/>
    <mergeCell ref="J11:J12"/>
    <mergeCell ref="K11:K12"/>
    <mergeCell ref="F32:F41"/>
    <mergeCell ref="AA10:AC10"/>
    <mergeCell ref="AD10:AF10"/>
    <mergeCell ref="R10:T10"/>
    <mergeCell ref="U10:W10"/>
    <mergeCell ref="F13:F22"/>
    <mergeCell ref="O10:Q10"/>
    <mergeCell ref="G11:I11"/>
    <mergeCell ref="L11:L12"/>
    <mergeCell ref="M11:M12"/>
    <mergeCell ref="N11:N12"/>
    <mergeCell ref="X10:Z10"/>
    <mergeCell ref="X11:X12"/>
    <mergeCell ref="Y11:Y12"/>
    <mergeCell ref="Z11:Z12"/>
    <mergeCell ref="X29:Z29"/>
    <mergeCell ref="AA13:AA21"/>
    <mergeCell ref="AB13:AB21"/>
    <mergeCell ref="AC13:AC21"/>
    <mergeCell ref="AA32:AA40"/>
    <mergeCell ref="AB32:AB40"/>
    <mergeCell ref="AC32:AC40"/>
    <mergeCell ref="AB30:AB31"/>
    <mergeCell ref="AC30:AC31"/>
  </mergeCells>
  <pageMargins left="0.64" right="0.27559055118110237" top="0.62" bottom="0.98425196850393704" header="0.51181102362204722" footer="0.51181102362204722"/>
  <pageSetup paperSize="9" scale="32"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C000"/>
    <pageSetUpPr fitToPage="1"/>
  </sheetPr>
  <dimension ref="B1:J25"/>
  <sheetViews>
    <sheetView showGridLines="0" view="pageBreakPreview" zoomScale="60" zoomScaleNormal="75" workbookViewId="0">
      <selection activeCell="C11" sqref="C11:C12"/>
    </sheetView>
  </sheetViews>
  <sheetFormatPr defaultColWidth="9.140625" defaultRowHeight="15"/>
  <cols>
    <col min="1" max="1" width="4.140625" style="155" customWidth="1"/>
    <col min="2" max="2" width="8.28515625" style="155" customWidth="1"/>
    <col min="3" max="3" width="29.28515625" style="155" customWidth="1"/>
    <col min="4" max="11" width="18.7109375" style="155" customWidth="1"/>
    <col min="12" max="252" width="9.140625" style="155"/>
    <col min="253" max="253" width="4.140625" style="155" customWidth="1"/>
    <col min="254" max="254" width="6.28515625" style="155" customWidth="1"/>
    <col min="255" max="255" width="29.28515625" style="155" customWidth="1"/>
    <col min="256" max="256" width="21.140625" style="155" bestFit="1" customWidth="1"/>
    <col min="257" max="267" width="18.7109375" style="155" customWidth="1"/>
    <col min="268" max="508" width="9.140625" style="155"/>
    <col min="509" max="509" width="4.140625" style="155" customWidth="1"/>
    <col min="510" max="510" width="6.28515625" style="155" customWidth="1"/>
    <col min="511" max="511" width="29.28515625" style="155" customWidth="1"/>
    <col min="512" max="512" width="21.140625" style="155" bestFit="1" customWidth="1"/>
    <col min="513" max="523" width="18.7109375" style="155" customWidth="1"/>
    <col min="524" max="764" width="9.140625" style="155"/>
    <col min="765" max="765" width="4.140625" style="155" customWidth="1"/>
    <col min="766" max="766" width="6.28515625" style="155" customWidth="1"/>
    <col min="767" max="767" width="29.28515625" style="155" customWidth="1"/>
    <col min="768" max="768" width="21.140625" style="155" bestFit="1" customWidth="1"/>
    <col min="769" max="779" width="18.7109375" style="155" customWidth="1"/>
    <col min="780" max="1020" width="9.140625" style="155"/>
    <col min="1021" max="1021" width="4.140625" style="155" customWidth="1"/>
    <col min="1022" max="1022" width="6.28515625" style="155" customWidth="1"/>
    <col min="1023" max="1023" width="29.28515625" style="155" customWidth="1"/>
    <col min="1024" max="1024" width="21.140625" style="155" bestFit="1" customWidth="1"/>
    <col min="1025" max="1035" width="18.7109375" style="155" customWidth="1"/>
    <col min="1036" max="1276" width="9.140625" style="155"/>
    <col min="1277" max="1277" width="4.140625" style="155" customWidth="1"/>
    <col min="1278" max="1278" width="6.28515625" style="155" customWidth="1"/>
    <col min="1279" max="1279" width="29.28515625" style="155" customWidth="1"/>
    <col min="1280" max="1280" width="21.140625" style="155" bestFit="1" customWidth="1"/>
    <col min="1281" max="1291" width="18.7109375" style="155" customWidth="1"/>
    <col min="1292" max="1532" width="9.140625" style="155"/>
    <col min="1533" max="1533" width="4.140625" style="155" customWidth="1"/>
    <col min="1534" max="1534" width="6.28515625" style="155" customWidth="1"/>
    <col min="1535" max="1535" width="29.28515625" style="155" customWidth="1"/>
    <col min="1536" max="1536" width="21.140625" style="155" bestFit="1" customWidth="1"/>
    <col min="1537" max="1547" width="18.7109375" style="155" customWidth="1"/>
    <col min="1548" max="1788" width="9.140625" style="155"/>
    <col min="1789" max="1789" width="4.140625" style="155" customWidth="1"/>
    <col min="1790" max="1790" width="6.28515625" style="155" customWidth="1"/>
    <col min="1791" max="1791" width="29.28515625" style="155" customWidth="1"/>
    <col min="1792" max="1792" width="21.140625" style="155" bestFit="1" customWidth="1"/>
    <col min="1793" max="1803" width="18.7109375" style="155" customWidth="1"/>
    <col min="1804" max="2044" width="9.140625" style="155"/>
    <col min="2045" max="2045" width="4.140625" style="155" customWidth="1"/>
    <col min="2046" max="2046" width="6.28515625" style="155" customWidth="1"/>
    <col min="2047" max="2047" width="29.28515625" style="155" customWidth="1"/>
    <col min="2048" max="2048" width="21.140625" style="155" bestFit="1" customWidth="1"/>
    <col min="2049" max="2059" width="18.7109375" style="155" customWidth="1"/>
    <col min="2060" max="2300" width="9.140625" style="155"/>
    <col min="2301" max="2301" width="4.140625" style="155" customWidth="1"/>
    <col min="2302" max="2302" width="6.28515625" style="155" customWidth="1"/>
    <col min="2303" max="2303" width="29.28515625" style="155" customWidth="1"/>
    <col min="2304" max="2304" width="21.140625" style="155" bestFit="1" customWidth="1"/>
    <col min="2305" max="2315" width="18.7109375" style="155" customWidth="1"/>
    <col min="2316" max="2556" width="9.140625" style="155"/>
    <col min="2557" max="2557" width="4.140625" style="155" customWidth="1"/>
    <col min="2558" max="2558" width="6.28515625" style="155" customWidth="1"/>
    <col min="2559" max="2559" width="29.28515625" style="155" customWidth="1"/>
    <col min="2560" max="2560" width="21.140625" style="155" bestFit="1" customWidth="1"/>
    <col min="2561" max="2571" width="18.7109375" style="155" customWidth="1"/>
    <col min="2572" max="2812" width="9.140625" style="155"/>
    <col min="2813" max="2813" width="4.140625" style="155" customWidth="1"/>
    <col min="2814" max="2814" width="6.28515625" style="155" customWidth="1"/>
    <col min="2815" max="2815" width="29.28515625" style="155" customWidth="1"/>
    <col min="2816" max="2816" width="21.140625" style="155" bestFit="1" customWidth="1"/>
    <col min="2817" max="2827" width="18.7109375" style="155" customWidth="1"/>
    <col min="2828" max="3068" width="9.140625" style="155"/>
    <col min="3069" max="3069" width="4.140625" style="155" customWidth="1"/>
    <col min="3070" max="3070" width="6.28515625" style="155" customWidth="1"/>
    <col min="3071" max="3071" width="29.28515625" style="155" customWidth="1"/>
    <col min="3072" max="3072" width="21.140625" style="155" bestFit="1" customWidth="1"/>
    <col min="3073" max="3083" width="18.7109375" style="155" customWidth="1"/>
    <col min="3084" max="3324" width="9.140625" style="155"/>
    <col min="3325" max="3325" width="4.140625" style="155" customWidth="1"/>
    <col min="3326" max="3326" width="6.28515625" style="155" customWidth="1"/>
    <col min="3327" max="3327" width="29.28515625" style="155" customWidth="1"/>
    <col min="3328" max="3328" width="21.140625" style="155" bestFit="1" customWidth="1"/>
    <col min="3329" max="3339" width="18.7109375" style="155" customWidth="1"/>
    <col min="3340" max="3580" width="9.140625" style="155"/>
    <col min="3581" max="3581" width="4.140625" style="155" customWidth="1"/>
    <col min="3582" max="3582" width="6.28515625" style="155" customWidth="1"/>
    <col min="3583" max="3583" width="29.28515625" style="155" customWidth="1"/>
    <col min="3584" max="3584" width="21.140625" style="155" bestFit="1" customWidth="1"/>
    <col min="3585" max="3595" width="18.7109375" style="155" customWidth="1"/>
    <col min="3596" max="3836" width="9.140625" style="155"/>
    <col min="3837" max="3837" width="4.140625" style="155" customWidth="1"/>
    <col min="3838" max="3838" width="6.28515625" style="155" customWidth="1"/>
    <col min="3839" max="3839" width="29.28515625" style="155" customWidth="1"/>
    <col min="3840" max="3840" width="21.140625" style="155" bestFit="1" customWidth="1"/>
    <col min="3841" max="3851" width="18.7109375" style="155" customWidth="1"/>
    <col min="3852" max="4092" width="9.140625" style="155"/>
    <col min="4093" max="4093" width="4.140625" style="155" customWidth="1"/>
    <col min="4094" max="4094" width="6.28515625" style="155" customWidth="1"/>
    <col min="4095" max="4095" width="29.28515625" style="155" customWidth="1"/>
    <col min="4096" max="4096" width="21.140625" style="155" bestFit="1" customWidth="1"/>
    <col min="4097" max="4107" width="18.7109375" style="155" customWidth="1"/>
    <col min="4108" max="4348" width="9.140625" style="155"/>
    <col min="4349" max="4349" width="4.140625" style="155" customWidth="1"/>
    <col min="4350" max="4350" width="6.28515625" style="155" customWidth="1"/>
    <col min="4351" max="4351" width="29.28515625" style="155" customWidth="1"/>
    <col min="4352" max="4352" width="21.140625" style="155" bestFit="1" customWidth="1"/>
    <col min="4353" max="4363" width="18.7109375" style="155" customWidth="1"/>
    <col min="4364" max="4604" width="9.140625" style="155"/>
    <col min="4605" max="4605" width="4.140625" style="155" customWidth="1"/>
    <col min="4606" max="4606" width="6.28515625" style="155" customWidth="1"/>
    <col min="4607" max="4607" width="29.28515625" style="155" customWidth="1"/>
    <col min="4608" max="4608" width="21.140625" style="155" bestFit="1" customWidth="1"/>
    <col min="4609" max="4619" width="18.7109375" style="155" customWidth="1"/>
    <col min="4620" max="4860" width="9.140625" style="155"/>
    <col min="4861" max="4861" width="4.140625" style="155" customWidth="1"/>
    <col min="4862" max="4862" width="6.28515625" style="155" customWidth="1"/>
    <col min="4863" max="4863" width="29.28515625" style="155" customWidth="1"/>
    <col min="4864" max="4864" width="21.140625" style="155" bestFit="1" customWidth="1"/>
    <col min="4865" max="4875" width="18.7109375" style="155" customWidth="1"/>
    <col min="4876" max="5116" width="9.140625" style="155"/>
    <col min="5117" max="5117" width="4.140625" style="155" customWidth="1"/>
    <col min="5118" max="5118" width="6.28515625" style="155" customWidth="1"/>
    <col min="5119" max="5119" width="29.28515625" style="155" customWidth="1"/>
    <col min="5120" max="5120" width="21.140625" style="155" bestFit="1" customWidth="1"/>
    <col min="5121" max="5131" width="18.7109375" style="155" customWidth="1"/>
    <col min="5132" max="5372" width="9.140625" style="155"/>
    <col min="5373" max="5373" width="4.140625" style="155" customWidth="1"/>
    <col min="5374" max="5374" width="6.28515625" style="155" customWidth="1"/>
    <col min="5375" max="5375" width="29.28515625" style="155" customWidth="1"/>
    <col min="5376" max="5376" width="21.140625" style="155" bestFit="1" customWidth="1"/>
    <col min="5377" max="5387" width="18.7109375" style="155" customWidth="1"/>
    <col min="5388" max="5628" width="9.140625" style="155"/>
    <col min="5629" max="5629" width="4.140625" style="155" customWidth="1"/>
    <col min="5630" max="5630" width="6.28515625" style="155" customWidth="1"/>
    <col min="5631" max="5631" width="29.28515625" style="155" customWidth="1"/>
    <col min="5632" max="5632" width="21.140625" style="155" bestFit="1" customWidth="1"/>
    <col min="5633" max="5643" width="18.7109375" style="155" customWidth="1"/>
    <col min="5644" max="5884" width="9.140625" style="155"/>
    <col min="5885" max="5885" width="4.140625" style="155" customWidth="1"/>
    <col min="5886" max="5886" width="6.28515625" style="155" customWidth="1"/>
    <col min="5887" max="5887" width="29.28515625" style="155" customWidth="1"/>
    <col min="5888" max="5888" width="21.140625" style="155" bestFit="1" customWidth="1"/>
    <col min="5889" max="5899" width="18.7109375" style="155" customWidth="1"/>
    <col min="5900" max="6140" width="9.140625" style="155"/>
    <col min="6141" max="6141" width="4.140625" style="155" customWidth="1"/>
    <col min="6142" max="6142" width="6.28515625" style="155" customWidth="1"/>
    <col min="6143" max="6143" width="29.28515625" style="155" customWidth="1"/>
    <col min="6144" max="6144" width="21.140625" style="155" bestFit="1" customWidth="1"/>
    <col min="6145" max="6155" width="18.7109375" style="155" customWidth="1"/>
    <col min="6156" max="6396" width="9.140625" style="155"/>
    <col min="6397" max="6397" width="4.140625" style="155" customWidth="1"/>
    <col min="6398" max="6398" width="6.28515625" style="155" customWidth="1"/>
    <col min="6399" max="6399" width="29.28515625" style="155" customWidth="1"/>
    <col min="6400" max="6400" width="21.140625" style="155" bestFit="1" customWidth="1"/>
    <col min="6401" max="6411" width="18.7109375" style="155" customWidth="1"/>
    <col min="6412" max="6652" width="9.140625" style="155"/>
    <col min="6653" max="6653" width="4.140625" style="155" customWidth="1"/>
    <col min="6654" max="6654" width="6.28515625" style="155" customWidth="1"/>
    <col min="6655" max="6655" width="29.28515625" style="155" customWidth="1"/>
    <col min="6656" max="6656" width="21.140625" style="155" bestFit="1" customWidth="1"/>
    <col min="6657" max="6667" width="18.7109375" style="155" customWidth="1"/>
    <col min="6668" max="6908" width="9.140625" style="155"/>
    <col min="6909" max="6909" width="4.140625" style="155" customWidth="1"/>
    <col min="6910" max="6910" width="6.28515625" style="155" customWidth="1"/>
    <col min="6911" max="6911" width="29.28515625" style="155" customWidth="1"/>
    <col min="6912" max="6912" width="21.140625" style="155" bestFit="1" customWidth="1"/>
    <col min="6913" max="6923" width="18.7109375" style="155" customWidth="1"/>
    <col min="6924" max="7164" width="9.140625" style="155"/>
    <col min="7165" max="7165" width="4.140625" style="155" customWidth="1"/>
    <col min="7166" max="7166" width="6.28515625" style="155" customWidth="1"/>
    <col min="7167" max="7167" width="29.28515625" style="155" customWidth="1"/>
    <col min="7168" max="7168" width="21.140625" style="155" bestFit="1" customWidth="1"/>
    <col min="7169" max="7179" width="18.7109375" style="155" customWidth="1"/>
    <col min="7180" max="7420" width="9.140625" style="155"/>
    <col min="7421" max="7421" width="4.140625" style="155" customWidth="1"/>
    <col min="7422" max="7422" width="6.28515625" style="155" customWidth="1"/>
    <col min="7423" max="7423" width="29.28515625" style="155" customWidth="1"/>
    <col min="7424" max="7424" width="21.140625" style="155" bestFit="1" customWidth="1"/>
    <col min="7425" max="7435" width="18.7109375" style="155" customWidth="1"/>
    <col min="7436" max="7676" width="9.140625" style="155"/>
    <col min="7677" max="7677" width="4.140625" style="155" customWidth="1"/>
    <col min="7678" max="7678" width="6.28515625" style="155" customWidth="1"/>
    <col min="7679" max="7679" width="29.28515625" style="155" customWidth="1"/>
    <col min="7680" max="7680" width="21.140625" style="155" bestFit="1" customWidth="1"/>
    <col min="7681" max="7691" width="18.7109375" style="155" customWidth="1"/>
    <col min="7692" max="7932" width="9.140625" style="155"/>
    <col min="7933" max="7933" width="4.140625" style="155" customWidth="1"/>
    <col min="7934" max="7934" width="6.28515625" style="155" customWidth="1"/>
    <col min="7935" max="7935" width="29.28515625" style="155" customWidth="1"/>
    <col min="7936" max="7936" width="21.140625" style="155" bestFit="1" customWidth="1"/>
    <col min="7937" max="7947" width="18.7109375" style="155" customWidth="1"/>
    <col min="7948" max="8188" width="9.140625" style="155"/>
    <col min="8189" max="8189" width="4.140625" style="155" customWidth="1"/>
    <col min="8190" max="8190" width="6.28515625" style="155" customWidth="1"/>
    <col min="8191" max="8191" width="29.28515625" style="155" customWidth="1"/>
    <col min="8192" max="8192" width="21.140625" style="155" bestFit="1" customWidth="1"/>
    <col min="8193" max="8203" width="18.7109375" style="155" customWidth="1"/>
    <col min="8204" max="8444" width="9.140625" style="155"/>
    <col min="8445" max="8445" width="4.140625" style="155" customWidth="1"/>
    <col min="8446" max="8446" width="6.28515625" style="155" customWidth="1"/>
    <col min="8447" max="8447" width="29.28515625" style="155" customWidth="1"/>
    <col min="8448" max="8448" width="21.140625" style="155" bestFit="1" customWidth="1"/>
    <col min="8449" max="8459" width="18.7109375" style="155" customWidth="1"/>
    <col min="8460" max="8700" width="9.140625" style="155"/>
    <col min="8701" max="8701" width="4.140625" style="155" customWidth="1"/>
    <col min="8702" max="8702" width="6.28515625" style="155" customWidth="1"/>
    <col min="8703" max="8703" width="29.28515625" style="155" customWidth="1"/>
    <col min="8704" max="8704" width="21.140625" style="155" bestFit="1" customWidth="1"/>
    <col min="8705" max="8715" width="18.7109375" style="155" customWidth="1"/>
    <col min="8716" max="8956" width="9.140625" style="155"/>
    <col min="8957" max="8957" width="4.140625" style="155" customWidth="1"/>
    <col min="8958" max="8958" width="6.28515625" style="155" customWidth="1"/>
    <col min="8959" max="8959" width="29.28515625" style="155" customWidth="1"/>
    <col min="8960" max="8960" width="21.140625" style="155" bestFit="1" customWidth="1"/>
    <col min="8961" max="8971" width="18.7109375" style="155" customWidth="1"/>
    <col min="8972" max="9212" width="9.140625" style="155"/>
    <col min="9213" max="9213" width="4.140625" style="155" customWidth="1"/>
    <col min="9214" max="9214" width="6.28515625" style="155" customWidth="1"/>
    <col min="9215" max="9215" width="29.28515625" style="155" customWidth="1"/>
    <col min="9216" max="9216" width="21.140625" style="155" bestFit="1" customWidth="1"/>
    <col min="9217" max="9227" width="18.7109375" style="155" customWidth="1"/>
    <col min="9228" max="9468" width="9.140625" style="155"/>
    <col min="9469" max="9469" width="4.140625" style="155" customWidth="1"/>
    <col min="9470" max="9470" width="6.28515625" style="155" customWidth="1"/>
    <col min="9471" max="9471" width="29.28515625" style="155" customWidth="1"/>
    <col min="9472" max="9472" width="21.140625" style="155" bestFit="1" customWidth="1"/>
    <col min="9473" max="9483" width="18.7109375" style="155" customWidth="1"/>
    <col min="9484" max="9724" width="9.140625" style="155"/>
    <col min="9725" max="9725" width="4.140625" style="155" customWidth="1"/>
    <col min="9726" max="9726" width="6.28515625" style="155" customWidth="1"/>
    <col min="9727" max="9727" width="29.28515625" style="155" customWidth="1"/>
    <col min="9728" max="9728" width="21.140625" style="155" bestFit="1" customWidth="1"/>
    <col min="9729" max="9739" width="18.7109375" style="155" customWidth="1"/>
    <col min="9740" max="9980" width="9.140625" style="155"/>
    <col min="9981" max="9981" width="4.140625" style="155" customWidth="1"/>
    <col min="9982" max="9982" width="6.28515625" style="155" customWidth="1"/>
    <col min="9983" max="9983" width="29.28515625" style="155" customWidth="1"/>
    <col min="9984" max="9984" width="21.140625" style="155" bestFit="1" customWidth="1"/>
    <col min="9985" max="9995" width="18.7109375" style="155" customWidth="1"/>
    <col min="9996" max="10236" width="9.140625" style="155"/>
    <col min="10237" max="10237" width="4.140625" style="155" customWidth="1"/>
    <col min="10238" max="10238" width="6.28515625" style="155" customWidth="1"/>
    <col min="10239" max="10239" width="29.28515625" style="155" customWidth="1"/>
    <col min="10240" max="10240" width="21.140625" style="155" bestFit="1" customWidth="1"/>
    <col min="10241" max="10251" width="18.7109375" style="155" customWidth="1"/>
    <col min="10252" max="10492" width="9.140625" style="155"/>
    <col min="10493" max="10493" width="4.140625" style="155" customWidth="1"/>
    <col min="10494" max="10494" width="6.28515625" style="155" customWidth="1"/>
    <col min="10495" max="10495" width="29.28515625" style="155" customWidth="1"/>
    <col min="10496" max="10496" width="21.140625" style="155" bestFit="1" customWidth="1"/>
    <col min="10497" max="10507" width="18.7109375" style="155" customWidth="1"/>
    <col min="10508" max="10748" width="9.140625" style="155"/>
    <col min="10749" max="10749" width="4.140625" style="155" customWidth="1"/>
    <col min="10750" max="10750" width="6.28515625" style="155" customWidth="1"/>
    <col min="10751" max="10751" width="29.28515625" style="155" customWidth="1"/>
    <col min="10752" max="10752" width="21.140625" style="155" bestFit="1" customWidth="1"/>
    <col min="10753" max="10763" width="18.7109375" style="155" customWidth="1"/>
    <col min="10764" max="11004" width="9.140625" style="155"/>
    <col min="11005" max="11005" width="4.140625" style="155" customWidth="1"/>
    <col min="11006" max="11006" width="6.28515625" style="155" customWidth="1"/>
    <col min="11007" max="11007" width="29.28515625" style="155" customWidth="1"/>
    <col min="11008" max="11008" width="21.140625" style="155" bestFit="1" customWidth="1"/>
    <col min="11009" max="11019" width="18.7109375" style="155" customWidth="1"/>
    <col min="11020" max="11260" width="9.140625" style="155"/>
    <col min="11261" max="11261" width="4.140625" style="155" customWidth="1"/>
    <col min="11262" max="11262" width="6.28515625" style="155" customWidth="1"/>
    <col min="11263" max="11263" width="29.28515625" style="155" customWidth="1"/>
    <col min="11264" max="11264" width="21.140625" style="155" bestFit="1" customWidth="1"/>
    <col min="11265" max="11275" width="18.7109375" style="155" customWidth="1"/>
    <col min="11276" max="11516" width="9.140625" style="155"/>
    <col min="11517" max="11517" width="4.140625" style="155" customWidth="1"/>
    <col min="11518" max="11518" width="6.28515625" style="155" customWidth="1"/>
    <col min="11519" max="11519" width="29.28515625" style="155" customWidth="1"/>
    <col min="11520" max="11520" width="21.140625" style="155" bestFit="1" customWidth="1"/>
    <col min="11521" max="11531" width="18.7109375" style="155" customWidth="1"/>
    <col min="11532" max="11772" width="9.140625" style="155"/>
    <col min="11773" max="11773" width="4.140625" style="155" customWidth="1"/>
    <col min="11774" max="11774" width="6.28515625" style="155" customWidth="1"/>
    <col min="11775" max="11775" width="29.28515625" style="155" customWidth="1"/>
    <col min="11776" max="11776" width="21.140625" style="155" bestFit="1" customWidth="1"/>
    <col min="11777" max="11787" width="18.7109375" style="155" customWidth="1"/>
    <col min="11788" max="12028" width="9.140625" style="155"/>
    <col min="12029" max="12029" width="4.140625" style="155" customWidth="1"/>
    <col min="12030" max="12030" width="6.28515625" style="155" customWidth="1"/>
    <col min="12031" max="12031" width="29.28515625" style="155" customWidth="1"/>
    <col min="12032" max="12032" width="21.140625" style="155" bestFit="1" customWidth="1"/>
    <col min="12033" max="12043" width="18.7109375" style="155" customWidth="1"/>
    <col min="12044" max="12284" width="9.140625" style="155"/>
    <col min="12285" max="12285" width="4.140625" style="155" customWidth="1"/>
    <col min="12286" max="12286" width="6.28515625" style="155" customWidth="1"/>
    <col min="12287" max="12287" width="29.28515625" style="155" customWidth="1"/>
    <col min="12288" max="12288" width="21.140625" style="155" bestFit="1" customWidth="1"/>
    <col min="12289" max="12299" width="18.7109375" style="155" customWidth="1"/>
    <col min="12300" max="12540" width="9.140625" style="155"/>
    <col min="12541" max="12541" width="4.140625" style="155" customWidth="1"/>
    <col min="12542" max="12542" width="6.28515625" style="155" customWidth="1"/>
    <col min="12543" max="12543" width="29.28515625" style="155" customWidth="1"/>
    <col min="12544" max="12544" width="21.140625" style="155" bestFit="1" customWidth="1"/>
    <col min="12545" max="12555" width="18.7109375" style="155" customWidth="1"/>
    <col min="12556" max="12796" width="9.140625" style="155"/>
    <col min="12797" max="12797" width="4.140625" style="155" customWidth="1"/>
    <col min="12798" max="12798" width="6.28515625" style="155" customWidth="1"/>
    <col min="12799" max="12799" width="29.28515625" style="155" customWidth="1"/>
    <col min="12800" max="12800" width="21.140625" style="155" bestFit="1" customWidth="1"/>
    <col min="12801" max="12811" width="18.7109375" style="155" customWidth="1"/>
    <col min="12812" max="13052" width="9.140625" style="155"/>
    <col min="13053" max="13053" width="4.140625" style="155" customWidth="1"/>
    <col min="13054" max="13054" width="6.28515625" style="155" customWidth="1"/>
    <col min="13055" max="13055" width="29.28515625" style="155" customWidth="1"/>
    <col min="13056" max="13056" width="21.140625" style="155" bestFit="1" customWidth="1"/>
    <col min="13057" max="13067" width="18.7109375" style="155" customWidth="1"/>
    <col min="13068" max="13308" width="9.140625" style="155"/>
    <col min="13309" max="13309" width="4.140625" style="155" customWidth="1"/>
    <col min="13310" max="13310" width="6.28515625" style="155" customWidth="1"/>
    <col min="13311" max="13311" width="29.28515625" style="155" customWidth="1"/>
    <col min="13312" max="13312" width="21.140625" style="155" bestFit="1" customWidth="1"/>
    <col min="13313" max="13323" width="18.7109375" style="155" customWidth="1"/>
    <col min="13324" max="13564" width="9.140625" style="155"/>
    <col min="13565" max="13565" width="4.140625" style="155" customWidth="1"/>
    <col min="13566" max="13566" width="6.28515625" style="155" customWidth="1"/>
    <col min="13567" max="13567" width="29.28515625" style="155" customWidth="1"/>
    <col min="13568" max="13568" width="21.140625" style="155" bestFit="1" customWidth="1"/>
    <col min="13569" max="13579" width="18.7109375" style="155" customWidth="1"/>
    <col min="13580" max="13820" width="9.140625" style="155"/>
    <col min="13821" max="13821" width="4.140625" style="155" customWidth="1"/>
    <col min="13822" max="13822" width="6.28515625" style="155" customWidth="1"/>
    <col min="13823" max="13823" width="29.28515625" style="155" customWidth="1"/>
    <col min="13824" max="13824" width="21.140625" style="155" bestFit="1" customWidth="1"/>
    <col min="13825" max="13835" width="18.7109375" style="155" customWidth="1"/>
    <col min="13836" max="14076" width="9.140625" style="155"/>
    <col min="14077" max="14077" width="4.140625" style="155" customWidth="1"/>
    <col min="14078" max="14078" width="6.28515625" style="155" customWidth="1"/>
    <col min="14079" max="14079" width="29.28515625" style="155" customWidth="1"/>
    <col min="14080" max="14080" width="21.140625" style="155" bestFit="1" customWidth="1"/>
    <col min="14081" max="14091" width="18.7109375" style="155" customWidth="1"/>
    <col min="14092" max="14332" width="9.140625" style="155"/>
    <col min="14333" max="14333" width="4.140625" style="155" customWidth="1"/>
    <col min="14334" max="14334" width="6.28515625" style="155" customWidth="1"/>
    <col min="14335" max="14335" width="29.28515625" style="155" customWidth="1"/>
    <col min="14336" max="14336" width="21.140625" style="155" bestFit="1" customWidth="1"/>
    <col min="14337" max="14347" width="18.7109375" style="155" customWidth="1"/>
    <col min="14348" max="14588" width="9.140625" style="155"/>
    <col min="14589" max="14589" width="4.140625" style="155" customWidth="1"/>
    <col min="14590" max="14590" width="6.28515625" style="155" customWidth="1"/>
    <col min="14591" max="14591" width="29.28515625" style="155" customWidth="1"/>
    <col min="14592" max="14592" width="21.140625" style="155" bestFit="1" customWidth="1"/>
    <col min="14593" max="14603" width="18.7109375" style="155" customWidth="1"/>
    <col min="14604" max="14844" width="9.140625" style="155"/>
    <col min="14845" max="14845" width="4.140625" style="155" customWidth="1"/>
    <col min="14846" max="14846" width="6.28515625" style="155" customWidth="1"/>
    <col min="14847" max="14847" width="29.28515625" style="155" customWidth="1"/>
    <col min="14848" max="14848" width="21.140625" style="155" bestFit="1" customWidth="1"/>
    <col min="14849" max="14859" width="18.7109375" style="155" customWidth="1"/>
    <col min="14860" max="15100" width="9.140625" style="155"/>
    <col min="15101" max="15101" width="4.140625" style="155" customWidth="1"/>
    <col min="15102" max="15102" width="6.28515625" style="155" customWidth="1"/>
    <col min="15103" max="15103" width="29.28515625" style="155" customWidth="1"/>
    <col min="15104" max="15104" width="21.140625" style="155" bestFit="1" customWidth="1"/>
    <col min="15105" max="15115" width="18.7109375" style="155" customWidth="1"/>
    <col min="15116" max="15356" width="9.140625" style="155"/>
    <col min="15357" max="15357" width="4.140625" style="155" customWidth="1"/>
    <col min="15358" max="15358" width="6.28515625" style="155" customWidth="1"/>
    <col min="15359" max="15359" width="29.28515625" style="155" customWidth="1"/>
    <col min="15360" max="15360" width="21.140625" style="155" bestFit="1" customWidth="1"/>
    <col min="15361" max="15371" width="18.7109375" style="155" customWidth="1"/>
    <col min="15372" max="15612" width="9.140625" style="155"/>
    <col min="15613" max="15613" width="4.140625" style="155" customWidth="1"/>
    <col min="15614" max="15614" width="6.28515625" style="155" customWidth="1"/>
    <col min="15615" max="15615" width="29.28515625" style="155" customWidth="1"/>
    <col min="15616" max="15616" width="21.140625" style="155" bestFit="1" customWidth="1"/>
    <col min="15617" max="15627" width="18.7109375" style="155" customWidth="1"/>
    <col min="15628" max="15868" width="9.140625" style="155"/>
    <col min="15869" max="15869" width="4.140625" style="155" customWidth="1"/>
    <col min="15870" max="15870" width="6.28515625" style="155" customWidth="1"/>
    <col min="15871" max="15871" width="29.28515625" style="155" customWidth="1"/>
    <col min="15872" max="15872" width="21.140625" style="155" bestFit="1" customWidth="1"/>
    <col min="15873" max="15883" width="18.7109375" style="155" customWidth="1"/>
    <col min="15884" max="16124" width="9.140625" style="155"/>
    <col min="16125" max="16125" width="4.140625" style="155" customWidth="1"/>
    <col min="16126" max="16126" width="6.28515625" style="155" customWidth="1"/>
    <col min="16127" max="16127" width="29.28515625" style="155" customWidth="1"/>
    <col min="16128" max="16128" width="21.140625" style="155" bestFit="1" customWidth="1"/>
    <col min="16129" max="16139" width="18.7109375" style="155" customWidth="1"/>
    <col min="16140" max="16384" width="9.140625" style="155"/>
  </cols>
  <sheetData>
    <row r="1" spans="2:10">
      <c r="B1" s="46"/>
    </row>
    <row r="2" spans="2:10">
      <c r="B2" s="154"/>
      <c r="E2" s="62" t="s">
        <v>906</v>
      </c>
      <c r="F2" s="22"/>
      <c r="G2" s="22"/>
      <c r="H2" s="22"/>
      <c r="I2" s="22"/>
      <c r="J2" s="22"/>
    </row>
    <row r="3" spans="2:10">
      <c r="E3" s="62" t="s">
        <v>722</v>
      </c>
      <c r="F3" s="22"/>
      <c r="G3" s="22"/>
      <c r="H3" s="22"/>
      <c r="I3" s="22"/>
      <c r="J3" s="22"/>
    </row>
    <row r="4" spans="2:10">
      <c r="B4" s="154"/>
      <c r="E4" s="62" t="s">
        <v>517</v>
      </c>
      <c r="F4" s="22"/>
      <c r="G4" s="22"/>
      <c r="H4" s="22"/>
      <c r="I4" s="22"/>
      <c r="J4" s="22"/>
    </row>
    <row r="5" spans="2:10">
      <c r="B5" s="154"/>
      <c r="E5" s="62"/>
      <c r="F5" s="22"/>
      <c r="G5" s="22"/>
      <c r="H5" s="22"/>
      <c r="I5" s="22"/>
      <c r="J5" s="22"/>
    </row>
    <row r="6" spans="2:10">
      <c r="B6" s="154"/>
      <c r="E6" s="62"/>
      <c r="F6" s="22"/>
      <c r="G6" s="22"/>
      <c r="H6" s="22"/>
      <c r="I6" s="22"/>
      <c r="J6" s="22"/>
    </row>
    <row r="7" spans="2:10">
      <c r="B7" s="10" t="s">
        <v>516</v>
      </c>
      <c r="E7" s="62"/>
      <c r="F7" s="22"/>
      <c r="G7" s="22"/>
      <c r="H7" s="22"/>
      <c r="I7" s="22"/>
      <c r="J7" s="22"/>
    </row>
    <row r="8" spans="2:10">
      <c r="I8" s="10" t="s">
        <v>337</v>
      </c>
    </row>
    <row r="9" spans="2:10" s="38" customFormat="1" ht="17.25" customHeight="1">
      <c r="B9" s="1551" t="s">
        <v>157</v>
      </c>
      <c r="C9" s="1551" t="s">
        <v>49</v>
      </c>
      <c r="D9" s="280"/>
      <c r="E9" s="386"/>
      <c r="F9" s="387"/>
      <c r="G9" s="1552" t="s">
        <v>70</v>
      </c>
      <c r="H9" s="1553"/>
      <c r="I9" s="1549" t="s">
        <v>42</v>
      </c>
    </row>
    <row r="10" spans="2:10" s="39" customFormat="1">
      <c r="B10" s="1550"/>
      <c r="C10" s="1550"/>
      <c r="D10" s="280" t="s">
        <v>38</v>
      </c>
      <c r="E10" s="279" t="s">
        <v>146</v>
      </c>
      <c r="F10" s="279" t="s">
        <v>147</v>
      </c>
      <c r="G10" s="279" t="s">
        <v>148</v>
      </c>
      <c r="H10" s="279" t="s">
        <v>149</v>
      </c>
      <c r="I10" s="1549"/>
    </row>
    <row r="11" spans="2:10" s="10" customFormat="1" ht="33.6" customHeight="1">
      <c r="B11" s="1550"/>
      <c r="C11" s="1550"/>
      <c r="D11" s="280" t="s">
        <v>12</v>
      </c>
      <c r="E11" s="280" t="s">
        <v>12</v>
      </c>
      <c r="F11" s="280" t="s">
        <v>22</v>
      </c>
      <c r="G11" s="280" t="s">
        <v>689</v>
      </c>
      <c r="H11" s="366" t="s">
        <v>689</v>
      </c>
      <c r="I11" s="1550"/>
      <c r="J11" s="39"/>
    </row>
    <row r="12" spans="2:10" s="236" customFormat="1">
      <c r="B12" s="241">
        <v>1</v>
      </c>
      <c r="C12" s="89" t="s">
        <v>1295</v>
      </c>
      <c r="D12" s="1123">
        <f>+'F16'!AC22</f>
        <v>1.0007826758988176</v>
      </c>
      <c r="E12" s="1123">
        <f>+'F16'!AC41</f>
        <v>0.99197069611186028</v>
      </c>
      <c r="F12" s="1123">
        <v>0.99197069611186039</v>
      </c>
      <c r="G12" s="1123">
        <v>0.99197069611186039</v>
      </c>
      <c r="H12" s="1123">
        <v>0.99197069611186039</v>
      </c>
      <c r="I12" s="68"/>
    </row>
    <row r="13" spans="2:10" s="236" customFormat="1">
      <c r="B13" s="241">
        <v>2</v>
      </c>
      <c r="C13" s="310" t="s">
        <v>115</v>
      </c>
      <c r="D13" s="242"/>
      <c r="E13" s="242"/>
      <c r="F13" s="242"/>
      <c r="G13" s="68"/>
      <c r="H13" s="68"/>
      <c r="I13" s="68"/>
    </row>
    <row r="14" spans="2:10">
      <c r="B14" s="154"/>
      <c r="E14" s="62"/>
      <c r="F14" s="22"/>
      <c r="G14" s="22"/>
      <c r="H14" s="22"/>
      <c r="I14" s="22"/>
      <c r="J14" s="22"/>
    </row>
    <row r="15" spans="2:10">
      <c r="B15" s="154"/>
      <c r="E15" s="62"/>
      <c r="F15" s="22"/>
      <c r="G15" s="22"/>
      <c r="H15" s="22"/>
      <c r="I15" s="22"/>
      <c r="J15" s="22"/>
    </row>
    <row r="16" spans="2:10">
      <c r="B16" s="10" t="s">
        <v>515</v>
      </c>
      <c r="C16" s="52"/>
    </row>
    <row r="17" spans="2:10">
      <c r="I17" s="10" t="s">
        <v>337</v>
      </c>
    </row>
    <row r="18" spans="2:10" s="38" customFormat="1" ht="17.25" customHeight="1">
      <c r="B18" s="1551" t="s">
        <v>157</v>
      </c>
      <c r="C18" s="1551" t="s">
        <v>49</v>
      </c>
      <c r="D18" s="188"/>
      <c r="E18" s="366"/>
      <c r="F18" s="387"/>
      <c r="G18" s="1552" t="s">
        <v>70</v>
      </c>
      <c r="H18" s="1553"/>
      <c r="I18" s="1549" t="s">
        <v>42</v>
      </c>
    </row>
    <row r="19" spans="2:10" s="39" customFormat="1">
      <c r="B19" s="1550"/>
      <c r="C19" s="1550"/>
      <c r="D19" s="188" t="s">
        <v>38</v>
      </c>
      <c r="E19" s="211" t="s">
        <v>146</v>
      </c>
      <c r="F19" s="211" t="s">
        <v>147</v>
      </c>
      <c r="G19" s="211" t="s">
        <v>148</v>
      </c>
      <c r="H19" s="211" t="s">
        <v>149</v>
      </c>
      <c r="I19" s="1549"/>
    </row>
    <row r="20" spans="2:10" s="10" customFormat="1" ht="30.6" customHeight="1">
      <c r="B20" s="1550"/>
      <c r="C20" s="1550"/>
      <c r="D20" s="188" t="s">
        <v>12</v>
      </c>
      <c r="E20" s="188" t="s">
        <v>12</v>
      </c>
      <c r="F20" s="188" t="s">
        <v>22</v>
      </c>
      <c r="G20" s="188" t="s">
        <v>689</v>
      </c>
      <c r="H20" s="188" t="s">
        <v>689</v>
      </c>
      <c r="I20" s="1550"/>
      <c r="J20" s="39"/>
    </row>
    <row r="21" spans="2:10" s="236" customFormat="1">
      <c r="B21" s="241">
        <v>1</v>
      </c>
      <c r="C21" s="89" t="s">
        <v>1295</v>
      </c>
      <c r="D21" s="1123">
        <f>+'F16'!AF22</f>
        <v>0.99022902281502079</v>
      </c>
      <c r="E21" s="1123">
        <f>+'F16'!AF41</f>
        <v>0.99066303409266221</v>
      </c>
      <c r="F21" s="1123">
        <f>+E21</f>
        <v>0.99066303409266221</v>
      </c>
      <c r="G21" s="1123">
        <f t="shared" ref="G21:H21" si="0">+F21</f>
        <v>0.99066303409266221</v>
      </c>
      <c r="H21" s="1123">
        <f t="shared" si="0"/>
        <v>0.99066303409266221</v>
      </c>
      <c r="I21" s="68"/>
    </row>
    <row r="22" spans="2:10" s="10" customFormat="1">
      <c r="B22" s="241">
        <v>2</v>
      </c>
      <c r="C22" s="310" t="s">
        <v>115</v>
      </c>
      <c r="D22" s="1123">
        <f>+D21</f>
        <v>0.99022902281502079</v>
      </c>
      <c r="E22" s="1123">
        <f t="shared" ref="E22:H22" si="1">+E21</f>
        <v>0.99066303409266221</v>
      </c>
      <c r="F22" s="1123">
        <f t="shared" si="1"/>
        <v>0.99066303409266221</v>
      </c>
      <c r="G22" s="1123">
        <f t="shared" si="1"/>
        <v>0.99066303409266221</v>
      </c>
      <c r="H22" s="1123">
        <f t="shared" si="1"/>
        <v>0.99066303409266221</v>
      </c>
      <c r="I22" s="41"/>
    </row>
    <row r="23" spans="2:10" s="1" customFormat="1">
      <c r="B23" s="181"/>
      <c r="C23" s="39"/>
    </row>
    <row r="24" spans="2:10" s="1" customFormat="1" ht="18">
      <c r="B24" s="237"/>
      <c r="C24" s="43"/>
      <c r="D24" s="155"/>
    </row>
    <row r="25" spans="2:10" s="1" customFormat="1" ht="18">
      <c r="B25" s="238"/>
      <c r="C25" s="239"/>
      <c r="D25" s="155"/>
    </row>
  </sheetData>
  <mergeCells count="8">
    <mergeCell ref="I18:I20"/>
    <mergeCell ref="B18:B20"/>
    <mergeCell ref="C18:C20"/>
    <mergeCell ref="B9:B11"/>
    <mergeCell ref="C9:C11"/>
    <mergeCell ref="I9:I11"/>
    <mergeCell ref="G18:H18"/>
    <mergeCell ref="G9:H9"/>
  </mergeCells>
  <pageMargins left="1.0236220472440944" right="0.23622047244094491" top="0.98425196850393704" bottom="0.98425196850393704" header="0.23622047244094491" footer="0.23622047244094491"/>
  <pageSetup paperSize="9" scale="78" orientation="landscape" r:id="rId1"/>
  <headerFooter alignWithMargins="0">
    <oddHeader>&amp;F</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C000"/>
    <pageSetUpPr fitToPage="1"/>
  </sheetPr>
  <dimension ref="B3:V102"/>
  <sheetViews>
    <sheetView showGridLines="0" view="pageBreakPreview" zoomScale="40" zoomScaleNormal="80" zoomScaleSheetLayoutView="40" workbookViewId="0">
      <selection activeCell="C11" sqref="C11:C12"/>
    </sheetView>
  </sheetViews>
  <sheetFormatPr defaultColWidth="9.140625" defaultRowHeight="15"/>
  <cols>
    <col min="1" max="1" width="3.140625" style="155" customWidth="1"/>
    <col min="2" max="2" width="31.42578125" style="74" customWidth="1"/>
    <col min="3" max="3" width="19.7109375" style="155" customWidth="1"/>
    <col min="4" max="4" width="16.140625" style="155" customWidth="1"/>
    <col min="5" max="5" width="21.140625" style="155" bestFit="1" customWidth="1"/>
    <col min="6" max="7" width="21.140625" style="155" customWidth="1"/>
    <col min="8" max="10" width="18.7109375" style="155" customWidth="1"/>
    <col min="11" max="11" width="21.85546875" style="155" customWidth="1"/>
    <col min="12" max="12" width="18.7109375" style="155" customWidth="1"/>
    <col min="13" max="13" width="34.5703125" style="155" customWidth="1"/>
    <col min="14" max="14" width="18.7109375" style="155" customWidth="1"/>
    <col min="15" max="15" width="17.5703125" style="155" customWidth="1"/>
    <col min="16" max="16" width="14.7109375" style="155" customWidth="1"/>
    <col min="17" max="17" width="15.5703125" style="155" customWidth="1"/>
    <col min="18" max="18" width="15.28515625" style="155" customWidth="1"/>
    <col min="19" max="16384" width="9.140625" style="155"/>
  </cols>
  <sheetData>
    <row r="3" spans="2:22">
      <c r="C3" s="222"/>
      <c r="D3" s="222"/>
      <c r="E3" s="375" t="s">
        <v>906</v>
      </c>
      <c r="F3" s="276"/>
      <c r="G3" s="276"/>
      <c r="H3" s="222"/>
      <c r="I3" s="222"/>
      <c r="J3" s="222"/>
      <c r="K3" s="222"/>
      <c r="L3" s="222"/>
      <c r="M3" s="222"/>
      <c r="N3" s="222"/>
    </row>
    <row r="4" spans="2:22">
      <c r="C4" s="222"/>
      <c r="D4" s="222"/>
      <c r="E4" s="373" t="s">
        <v>724</v>
      </c>
      <c r="F4" s="277"/>
      <c r="G4" s="277"/>
      <c r="H4" s="222"/>
      <c r="I4" s="222"/>
      <c r="J4" s="222"/>
      <c r="K4" s="222"/>
      <c r="L4" s="222"/>
      <c r="M4" s="222"/>
      <c r="N4" s="222"/>
    </row>
    <row r="5" spans="2:22">
      <c r="C5" s="222"/>
      <c r="D5" s="222"/>
      <c r="E5" s="277" t="s">
        <v>520</v>
      </c>
      <c r="F5" s="277"/>
      <c r="G5" s="277"/>
      <c r="H5" s="222"/>
      <c r="I5" s="222"/>
      <c r="J5" s="222"/>
      <c r="K5" s="222"/>
      <c r="L5" s="222"/>
      <c r="M5" s="222"/>
      <c r="N5" s="222"/>
    </row>
    <row r="6" spans="2:22">
      <c r="B6" s="138"/>
      <c r="C6" s="11"/>
      <c r="D6" s="22"/>
      <c r="E6" s="22"/>
      <c r="F6" s="22"/>
      <c r="G6" s="22"/>
      <c r="H6" s="22"/>
      <c r="I6" s="22"/>
    </row>
    <row r="7" spans="2:22" s="18" customFormat="1">
      <c r="B7" s="71" t="s">
        <v>492</v>
      </c>
      <c r="C7" s="91"/>
      <c r="D7" s="91"/>
      <c r="E7" s="91"/>
      <c r="F7" s="91"/>
      <c r="G7" s="91"/>
      <c r="H7" s="91"/>
    </row>
    <row r="8" spans="2:22" s="18" customFormat="1">
      <c r="B8" s="71"/>
      <c r="C8" s="91"/>
      <c r="D8" s="91"/>
      <c r="E8" s="91"/>
      <c r="F8" s="91"/>
      <c r="G8" s="91"/>
      <c r="H8" s="91"/>
    </row>
    <row r="9" spans="2:22" s="18" customFormat="1">
      <c r="B9" s="71" t="s">
        <v>480</v>
      </c>
      <c r="C9" s="91"/>
      <c r="D9" s="91"/>
      <c r="E9" s="91"/>
      <c r="F9" s="91"/>
      <c r="G9" s="91"/>
      <c r="H9" s="91"/>
    </row>
    <row r="10" spans="2:22" s="18" customFormat="1">
      <c r="B10" s="71"/>
      <c r="C10" s="91"/>
      <c r="D10" s="91"/>
      <c r="E10" s="91"/>
      <c r="F10" s="91"/>
      <c r="G10" s="91"/>
      <c r="H10" s="91"/>
    </row>
    <row r="11" spans="2:22" s="18" customFormat="1">
      <c r="B11" s="1543" t="s">
        <v>49</v>
      </c>
      <c r="C11" s="1540" t="s">
        <v>481</v>
      </c>
      <c r="D11" s="1541"/>
      <c r="E11" s="1542"/>
      <c r="F11" s="1540" t="s">
        <v>482</v>
      </c>
      <c r="G11" s="1541"/>
      <c r="H11" s="1542"/>
      <c r="I11" s="1539" t="s">
        <v>483</v>
      </c>
      <c r="J11" s="1539" t="s">
        <v>484</v>
      </c>
      <c r="K11" s="53"/>
      <c r="L11" s="53"/>
      <c r="M11" s="53"/>
      <c r="N11" s="53"/>
      <c r="O11" s="53"/>
      <c r="P11" s="53"/>
      <c r="Q11" s="53"/>
      <c r="R11" s="53"/>
      <c r="S11" s="53"/>
      <c r="T11" s="53"/>
      <c r="U11" s="53"/>
      <c r="V11" s="53"/>
    </row>
    <row r="12" spans="2:22" s="18" customFormat="1" ht="28.5">
      <c r="B12" s="1545"/>
      <c r="C12" s="1078" t="s">
        <v>485</v>
      </c>
      <c r="D12" s="1078" t="s">
        <v>486</v>
      </c>
      <c r="E12" s="1078" t="s">
        <v>487</v>
      </c>
      <c r="F12" s="1078" t="s">
        <v>485</v>
      </c>
      <c r="G12" s="1078" t="s">
        <v>486</v>
      </c>
      <c r="H12" s="1077" t="s">
        <v>488</v>
      </c>
      <c r="I12" s="1539"/>
      <c r="J12" s="1539"/>
      <c r="K12" s="53"/>
      <c r="L12" s="53"/>
      <c r="M12" s="53"/>
      <c r="N12" s="53"/>
      <c r="O12" s="53"/>
      <c r="P12" s="53"/>
      <c r="Q12" s="53"/>
      <c r="R12" s="53"/>
      <c r="S12" s="53"/>
      <c r="T12" s="53"/>
      <c r="U12" s="53"/>
      <c r="V12" s="53"/>
    </row>
    <row r="13" spans="2:22" s="27" customFormat="1">
      <c r="B13" s="105"/>
      <c r="C13" s="92"/>
      <c r="D13" s="92"/>
      <c r="E13" s="92"/>
      <c r="F13" s="92"/>
      <c r="G13" s="92"/>
      <c r="H13" s="1109"/>
      <c r="I13" s="29"/>
      <c r="J13" s="29"/>
      <c r="K13" s="53"/>
      <c r="L13" s="53"/>
      <c r="M13" s="53"/>
      <c r="N13" s="53"/>
      <c r="O13" s="53"/>
      <c r="P13" s="53"/>
      <c r="Q13" s="53"/>
      <c r="R13" s="53"/>
      <c r="S13" s="53"/>
      <c r="T13" s="53"/>
      <c r="U13" s="53"/>
      <c r="V13" s="53"/>
    </row>
    <row r="14" spans="2:22" s="18" customFormat="1">
      <c r="B14" s="105" t="s">
        <v>1294</v>
      </c>
      <c r="C14" s="1110">
        <v>42461</v>
      </c>
      <c r="D14" s="1111"/>
      <c r="E14" s="1112"/>
      <c r="F14" s="1112"/>
      <c r="G14" s="1111"/>
      <c r="H14" s="1113">
        <v>1</v>
      </c>
      <c r="I14" s="560">
        <v>0</v>
      </c>
      <c r="J14" s="560">
        <v>0</v>
      </c>
      <c r="K14" s="53"/>
      <c r="L14" s="53"/>
      <c r="M14" s="53"/>
      <c r="N14" s="53"/>
      <c r="O14" s="53"/>
      <c r="P14" s="53"/>
      <c r="Q14" s="53"/>
      <c r="R14" s="53"/>
      <c r="S14" s="53"/>
      <c r="T14" s="53"/>
      <c r="U14" s="53"/>
      <c r="V14" s="53"/>
    </row>
    <row r="15" spans="2:22" s="18" customFormat="1">
      <c r="B15" s="105" t="s">
        <v>1294</v>
      </c>
      <c r="C15" s="1110">
        <v>42491</v>
      </c>
      <c r="D15" s="1114"/>
      <c r="E15" s="1115"/>
      <c r="F15" s="1115"/>
      <c r="G15" s="1114"/>
      <c r="H15" s="1113">
        <v>1</v>
      </c>
      <c r="I15" s="560">
        <v>0</v>
      </c>
      <c r="J15" s="560">
        <v>0</v>
      </c>
      <c r="K15" s="53"/>
      <c r="L15" s="53"/>
      <c r="M15" s="53"/>
      <c r="N15" s="53"/>
      <c r="O15" s="53"/>
      <c r="P15" s="53"/>
      <c r="Q15" s="53"/>
      <c r="R15" s="53"/>
      <c r="S15" s="53"/>
      <c r="T15" s="53"/>
      <c r="U15" s="53"/>
      <c r="V15" s="53"/>
    </row>
    <row r="16" spans="2:22" s="18" customFormat="1">
      <c r="B16" s="105" t="s">
        <v>1294</v>
      </c>
      <c r="C16" s="1110">
        <v>42522</v>
      </c>
      <c r="D16" s="1114"/>
      <c r="E16" s="1115"/>
      <c r="F16" s="1115"/>
      <c r="G16" s="1114"/>
      <c r="H16" s="1113">
        <v>1</v>
      </c>
      <c r="I16" s="560">
        <v>0</v>
      </c>
      <c r="J16" s="560">
        <v>0</v>
      </c>
      <c r="K16" s="53"/>
      <c r="L16" s="53"/>
      <c r="M16" s="53"/>
      <c r="N16" s="53"/>
      <c r="O16" s="53"/>
      <c r="P16" s="53"/>
      <c r="Q16" s="53"/>
      <c r="R16" s="53"/>
      <c r="S16" s="53"/>
      <c r="T16" s="53"/>
      <c r="U16" s="53"/>
      <c r="V16" s="53"/>
    </row>
    <row r="17" spans="2:22" s="18" customFormat="1">
      <c r="B17" s="105" t="s">
        <v>825</v>
      </c>
      <c r="C17" s="1110">
        <v>42552</v>
      </c>
      <c r="D17" s="1114">
        <f>ROUND(27933492/10^7,2)</f>
        <v>2.79</v>
      </c>
      <c r="E17" s="1115">
        <v>42977</v>
      </c>
      <c r="F17" s="1115">
        <v>42598</v>
      </c>
      <c r="G17" s="1114">
        <f>ROUND(25694366.62/10^7,2)</f>
        <v>2.57</v>
      </c>
      <c r="H17" s="1113">
        <v>1</v>
      </c>
      <c r="I17" s="560">
        <v>0</v>
      </c>
      <c r="J17" s="560">
        <f t="shared" ref="J17:J19" si="0">D17-G17</f>
        <v>0.2200000000000002</v>
      </c>
      <c r="K17" s="53"/>
      <c r="L17" s="53"/>
      <c r="M17" s="53"/>
      <c r="N17" s="53"/>
      <c r="O17" s="53"/>
      <c r="P17" s="53"/>
      <c r="Q17" s="53"/>
      <c r="R17" s="53"/>
      <c r="S17" s="53"/>
      <c r="T17" s="53"/>
      <c r="U17" s="53"/>
      <c r="V17" s="53"/>
    </row>
    <row r="18" spans="2:22" s="18" customFormat="1">
      <c r="B18" s="105" t="s">
        <v>826</v>
      </c>
      <c r="C18" s="1110">
        <v>42552</v>
      </c>
      <c r="D18" s="1114">
        <f>ROUND(9283971/10^7,2)</f>
        <v>0.93</v>
      </c>
      <c r="E18" s="1115">
        <v>42977</v>
      </c>
      <c r="F18" s="1115">
        <v>42594</v>
      </c>
      <c r="G18" s="233">
        <f>ROUND(8768549/10^7,2)</f>
        <v>0.88</v>
      </c>
      <c r="H18" s="1113">
        <v>1</v>
      </c>
      <c r="I18" s="560">
        <v>0</v>
      </c>
      <c r="J18" s="560">
        <f t="shared" si="0"/>
        <v>5.0000000000000044E-2</v>
      </c>
      <c r="K18" s="53"/>
      <c r="L18" s="53"/>
      <c r="M18" s="53"/>
      <c r="N18" s="53"/>
      <c r="O18" s="53"/>
      <c r="P18" s="53"/>
      <c r="Q18" s="53"/>
      <c r="R18" s="53"/>
      <c r="S18" s="53"/>
      <c r="T18" s="53"/>
      <c r="U18" s="53"/>
      <c r="V18" s="53"/>
    </row>
    <row r="19" spans="2:22" s="18" customFormat="1">
      <c r="B19" s="105" t="s">
        <v>825</v>
      </c>
      <c r="C19" s="1110">
        <v>42583</v>
      </c>
      <c r="D19" s="1114">
        <f>ROUND(26195334/10^7,2)</f>
        <v>2.62</v>
      </c>
      <c r="E19" s="1115">
        <v>43008</v>
      </c>
      <c r="F19" s="1115">
        <v>42643</v>
      </c>
      <c r="G19" s="233">
        <f>ROUND(24655840/10^7,2)</f>
        <v>2.4700000000000002</v>
      </c>
      <c r="H19" s="1113">
        <v>1</v>
      </c>
      <c r="I19" s="560">
        <v>0</v>
      </c>
      <c r="J19" s="560">
        <f t="shared" si="0"/>
        <v>0.14999999999999991</v>
      </c>
      <c r="K19" s="53"/>
      <c r="L19" s="53"/>
      <c r="M19" s="53"/>
      <c r="N19" s="53"/>
      <c r="O19" s="53"/>
      <c r="P19" s="53"/>
      <c r="Q19" s="53"/>
      <c r="R19" s="53"/>
      <c r="S19" s="53"/>
      <c r="T19" s="53"/>
      <c r="U19" s="53"/>
      <c r="V19" s="53"/>
    </row>
    <row r="20" spans="2:22" s="18" customFormat="1">
      <c r="B20" s="105" t="s">
        <v>826</v>
      </c>
      <c r="C20" s="1110">
        <v>42583</v>
      </c>
      <c r="D20" s="233">
        <f>ROUND(9856397/10^7,2)</f>
        <v>0.99</v>
      </c>
      <c r="E20" s="1116">
        <v>43008</v>
      </c>
      <c r="F20" s="1116">
        <v>42643</v>
      </c>
      <c r="G20" s="233">
        <f>ROUND(9111565/10^7,2)</f>
        <v>0.91</v>
      </c>
      <c r="H20" s="1113">
        <v>1</v>
      </c>
      <c r="I20" s="560">
        <v>0</v>
      </c>
      <c r="J20" s="560">
        <f>D20-G20</f>
        <v>7.999999999999996E-2</v>
      </c>
      <c r="K20" s="53"/>
      <c r="L20" s="53"/>
      <c r="M20" s="53"/>
      <c r="N20" s="53"/>
      <c r="O20" s="53"/>
      <c r="P20" s="53"/>
      <c r="Q20" s="53"/>
      <c r="R20" s="53"/>
      <c r="S20" s="53"/>
      <c r="T20" s="53"/>
      <c r="U20" s="53"/>
      <c r="V20" s="53"/>
    </row>
    <row r="21" spans="2:22" s="18" customFormat="1">
      <c r="B21" s="105" t="s">
        <v>825</v>
      </c>
      <c r="C21" s="1117">
        <v>42614</v>
      </c>
      <c r="D21" s="233">
        <f>ROUND((25271984+225000)/10^7,2)</f>
        <v>2.5499999999999998</v>
      </c>
      <c r="E21" s="1116">
        <v>42673</v>
      </c>
      <c r="F21" s="1116">
        <v>42657</v>
      </c>
      <c r="G21" s="233">
        <f>ROUND((225000+25019264.16)/10^7,2)</f>
        <v>2.52</v>
      </c>
      <c r="H21" s="1113">
        <v>1</v>
      </c>
      <c r="I21" s="560">
        <v>0</v>
      </c>
      <c r="J21" s="560">
        <f t="shared" ref="J21:J34" si="1">D21-G21</f>
        <v>2.9999999999999805E-2</v>
      </c>
      <c r="K21" s="53"/>
      <c r="L21" s="53"/>
      <c r="M21" s="53"/>
      <c r="N21" s="53"/>
      <c r="O21" s="53"/>
      <c r="P21" s="53"/>
      <c r="Q21" s="53"/>
      <c r="R21" s="53"/>
      <c r="S21" s="53"/>
      <c r="T21" s="53"/>
      <c r="U21" s="53"/>
      <c r="V21" s="53"/>
    </row>
    <row r="22" spans="2:22" s="18" customFormat="1">
      <c r="B22" s="105" t="s">
        <v>826</v>
      </c>
      <c r="C22" s="1117">
        <v>42614</v>
      </c>
      <c r="D22" s="1118">
        <f>ROUND(9150319/10^7,2)</f>
        <v>0.92</v>
      </c>
      <c r="E22" s="1116">
        <v>42690</v>
      </c>
      <c r="F22" s="1116">
        <v>42656</v>
      </c>
      <c r="G22" s="456">
        <f>ROUND(9150319/10^7,2)</f>
        <v>0.92</v>
      </c>
      <c r="H22" s="1113">
        <v>1</v>
      </c>
      <c r="I22" s="560">
        <v>0</v>
      </c>
      <c r="J22" s="560">
        <f t="shared" si="1"/>
        <v>0</v>
      </c>
      <c r="K22" s="53"/>
      <c r="L22" s="53"/>
      <c r="M22" s="53"/>
      <c r="N22" s="53"/>
      <c r="O22" s="53"/>
      <c r="P22" s="53"/>
      <c r="Q22" s="53"/>
      <c r="R22" s="53"/>
      <c r="S22" s="53"/>
      <c r="T22" s="53"/>
      <c r="U22" s="53"/>
      <c r="V22" s="53"/>
    </row>
    <row r="23" spans="2:22" s="18" customFormat="1">
      <c r="B23" s="105" t="s">
        <v>825</v>
      </c>
      <c r="C23" s="1117">
        <v>42644</v>
      </c>
      <c r="D23" s="456">
        <f>ROUND(23335089/10^7,2)</f>
        <v>2.33</v>
      </c>
      <c r="E23" s="1116">
        <v>42704</v>
      </c>
      <c r="F23" s="1116">
        <v>42699</v>
      </c>
      <c r="G23" s="456">
        <f>ROUND(23335089/10^7,2)</f>
        <v>2.33</v>
      </c>
      <c r="H23" s="1113">
        <v>1</v>
      </c>
      <c r="I23" s="560">
        <v>0</v>
      </c>
      <c r="J23" s="560">
        <f t="shared" si="1"/>
        <v>0</v>
      </c>
      <c r="K23" s="53"/>
      <c r="L23" s="53"/>
      <c r="M23" s="53"/>
      <c r="N23" s="53"/>
      <c r="O23" s="53"/>
      <c r="P23" s="53"/>
      <c r="Q23" s="53"/>
      <c r="R23" s="53"/>
      <c r="S23" s="53"/>
      <c r="T23" s="53"/>
      <c r="U23" s="53"/>
      <c r="V23" s="53"/>
    </row>
    <row r="24" spans="2:22" s="1119" customFormat="1">
      <c r="B24" s="105" t="s">
        <v>826</v>
      </c>
      <c r="C24" s="1117">
        <v>42644</v>
      </c>
      <c r="D24" s="287">
        <f>ROUND(8411544/10^7,2)</f>
        <v>0.84</v>
      </c>
      <c r="E24" s="1116">
        <v>42704</v>
      </c>
      <c r="F24" s="1116">
        <v>42684</v>
      </c>
      <c r="G24" s="456">
        <f>ROUND(8327429/10^7,2)</f>
        <v>0.83</v>
      </c>
      <c r="H24" s="1120">
        <v>1</v>
      </c>
      <c r="I24" s="560">
        <v>0</v>
      </c>
      <c r="J24" s="560">
        <f t="shared" si="1"/>
        <v>1.0000000000000009E-2</v>
      </c>
      <c r="K24" s="28"/>
      <c r="L24" s="28"/>
      <c r="M24" s="28"/>
      <c r="N24" s="28"/>
      <c r="O24" s="28"/>
      <c r="P24" s="28"/>
      <c r="Q24" s="28"/>
      <c r="R24" s="28"/>
      <c r="S24" s="28"/>
      <c r="T24" s="28"/>
      <c r="U24" s="28"/>
      <c r="V24" s="28"/>
    </row>
    <row r="25" spans="2:22" s="18" customFormat="1">
      <c r="B25" s="105" t="s">
        <v>825</v>
      </c>
      <c r="C25" s="1117">
        <v>42675</v>
      </c>
      <c r="D25" s="456">
        <f>ROUND((22369810)/10^7,2)</f>
        <v>2.2400000000000002</v>
      </c>
      <c r="E25" s="1116">
        <v>42734</v>
      </c>
      <c r="F25" s="1116">
        <v>42712</v>
      </c>
      <c r="G25" s="233">
        <f>ROUND(22146112/10^7,2)</f>
        <v>2.21</v>
      </c>
      <c r="H25" s="1113">
        <v>1</v>
      </c>
      <c r="I25" s="560">
        <v>0</v>
      </c>
      <c r="J25" s="560">
        <f t="shared" si="1"/>
        <v>3.0000000000000249E-2</v>
      </c>
      <c r="K25" s="53"/>
      <c r="L25" s="53"/>
      <c r="M25" s="53"/>
      <c r="N25" s="53"/>
      <c r="O25" s="53"/>
      <c r="P25" s="53"/>
      <c r="Q25" s="53"/>
      <c r="R25" s="53"/>
      <c r="S25" s="53"/>
      <c r="T25" s="53"/>
      <c r="U25" s="53"/>
      <c r="V25" s="53"/>
    </row>
    <row r="26" spans="2:22" s="1119" customFormat="1">
      <c r="B26" s="105" t="s">
        <v>826</v>
      </c>
      <c r="C26" s="1117">
        <v>42675</v>
      </c>
      <c r="D26" s="287">
        <f>ROUND((9410196+699166+515421)/10^7,2)</f>
        <v>1.06</v>
      </c>
      <c r="E26" s="1116">
        <v>42734</v>
      </c>
      <c r="F26" s="1116">
        <v>42712</v>
      </c>
      <c r="G26" s="456">
        <f>ROUND((9316094+699166+515421)/10^7,2)</f>
        <v>1.05</v>
      </c>
      <c r="H26" s="1120">
        <v>1</v>
      </c>
      <c r="I26" s="560">
        <v>0</v>
      </c>
      <c r="J26" s="560">
        <f t="shared" si="1"/>
        <v>1.0000000000000009E-2</v>
      </c>
      <c r="K26" s="28"/>
      <c r="L26" s="28"/>
      <c r="M26" s="28"/>
      <c r="N26" s="28"/>
      <c r="O26" s="28"/>
      <c r="P26" s="28"/>
      <c r="Q26" s="28"/>
      <c r="R26" s="28"/>
      <c r="S26" s="28"/>
      <c r="T26" s="28"/>
      <c r="U26" s="28"/>
      <c r="V26" s="28"/>
    </row>
    <row r="27" spans="2:22" s="18" customFormat="1">
      <c r="B27" s="105" t="s">
        <v>825</v>
      </c>
      <c r="C27" s="1117">
        <v>42705</v>
      </c>
      <c r="D27" s="456">
        <f>ROUND((22902465+115750+1383862)/10^7,2)</f>
        <v>2.44</v>
      </c>
      <c r="E27" s="1116">
        <v>42765</v>
      </c>
      <c r="F27" s="1116">
        <v>42746</v>
      </c>
      <c r="G27" s="233">
        <f>ROUND((1383862+22673440+115750)/10^7,2)</f>
        <v>2.42</v>
      </c>
      <c r="H27" s="1113">
        <v>1</v>
      </c>
      <c r="I27" s="560">
        <v>0</v>
      </c>
      <c r="J27" s="560">
        <f t="shared" si="1"/>
        <v>2.0000000000000018E-2</v>
      </c>
      <c r="K27" s="53"/>
      <c r="L27" s="53"/>
      <c r="M27" s="53"/>
      <c r="N27" s="53"/>
      <c r="O27" s="53"/>
      <c r="P27" s="53"/>
      <c r="Q27" s="53"/>
      <c r="R27" s="53"/>
      <c r="S27" s="53"/>
      <c r="T27" s="53"/>
      <c r="U27" s="53"/>
      <c r="V27" s="53"/>
    </row>
    <row r="28" spans="2:22" s="1119" customFormat="1">
      <c r="B28" s="105" t="s">
        <v>826</v>
      </c>
      <c r="C28" s="1117">
        <v>42705</v>
      </c>
      <c r="D28" s="287">
        <f>ROUND(8861822/10^7,2)</f>
        <v>0.89</v>
      </c>
      <c r="E28" s="1121">
        <v>42765</v>
      </c>
      <c r="F28" s="1116">
        <v>42758</v>
      </c>
      <c r="G28" s="287">
        <f>ROUND(8861822/10^7,2)</f>
        <v>0.89</v>
      </c>
      <c r="H28" s="1120">
        <v>1</v>
      </c>
      <c r="I28" s="560">
        <v>0</v>
      </c>
      <c r="J28" s="560">
        <f t="shared" si="1"/>
        <v>0</v>
      </c>
      <c r="K28" s="28"/>
      <c r="L28" s="28"/>
      <c r="M28" s="28"/>
      <c r="N28" s="28"/>
      <c r="O28" s="28"/>
      <c r="P28" s="28"/>
      <c r="Q28" s="28"/>
      <c r="R28" s="28"/>
      <c r="S28" s="28"/>
      <c r="T28" s="28"/>
      <c r="U28" s="28"/>
      <c r="V28" s="28"/>
    </row>
    <row r="29" spans="2:22" s="18" customFormat="1">
      <c r="B29" s="105" t="s">
        <v>825</v>
      </c>
      <c r="C29" s="1117">
        <v>42736</v>
      </c>
      <c r="D29" s="456">
        <f>ROUND((22553770+96000)/10^7,2)</f>
        <v>2.2599999999999998</v>
      </c>
      <c r="E29" s="1121">
        <v>42794</v>
      </c>
      <c r="F29" s="1116">
        <v>42769</v>
      </c>
      <c r="G29" s="287">
        <f>ROUND((22328232+96000)/10^7,2)</f>
        <v>2.2400000000000002</v>
      </c>
      <c r="H29" s="1113">
        <v>1</v>
      </c>
      <c r="I29" s="560">
        <v>0</v>
      </c>
      <c r="J29" s="560">
        <f t="shared" si="1"/>
        <v>1.9999999999999574E-2</v>
      </c>
      <c r="K29" s="53"/>
      <c r="L29" s="53"/>
      <c r="M29" s="53"/>
      <c r="N29" s="53"/>
      <c r="O29" s="53"/>
      <c r="P29" s="53"/>
      <c r="Q29" s="53"/>
      <c r="R29" s="53"/>
      <c r="S29" s="53"/>
      <c r="T29" s="53"/>
      <c r="U29" s="53"/>
      <c r="V29" s="53"/>
    </row>
    <row r="30" spans="2:22" s="1119" customFormat="1">
      <c r="B30" s="105" t="s">
        <v>826</v>
      </c>
      <c r="C30" s="1117">
        <v>42736</v>
      </c>
      <c r="D30" s="287">
        <f>ROUND(8913778/10^7,2)</f>
        <v>0.89</v>
      </c>
      <c r="E30" s="1121">
        <v>42794</v>
      </c>
      <c r="F30" s="1116">
        <v>42769</v>
      </c>
      <c r="G30" s="287">
        <f>ROUND(8824640/10^7,2)</f>
        <v>0.88</v>
      </c>
      <c r="H30" s="1120">
        <v>1</v>
      </c>
      <c r="I30" s="560">
        <v>0</v>
      </c>
      <c r="J30" s="560">
        <f t="shared" si="1"/>
        <v>1.0000000000000009E-2</v>
      </c>
      <c r="K30" s="28"/>
      <c r="L30" s="28"/>
      <c r="M30" s="28"/>
      <c r="N30" s="28"/>
      <c r="O30" s="28"/>
      <c r="P30" s="28"/>
      <c r="Q30" s="28"/>
      <c r="R30" s="28"/>
      <c r="S30" s="28"/>
      <c r="T30" s="28"/>
      <c r="U30" s="28"/>
      <c r="V30" s="28"/>
    </row>
    <row r="31" spans="2:22" s="18" customFormat="1">
      <c r="B31" s="105" t="s">
        <v>825</v>
      </c>
      <c r="C31" s="1117">
        <v>42767</v>
      </c>
      <c r="D31" s="456">
        <f>ROUND((20670457+96000)/10^7,2)</f>
        <v>2.08</v>
      </c>
      <c r="E31" s="1116">
        <v>42824</v>
      </c>
      <c r="F31" s="1116">
        <v>42797</v>
      </c>
      <c r="G31" s="233">
        <f>ROUND((20463753+96000)/10^7,2)</f>
        <v>2.06</v>
      </c>
      <c r="H31" s="1113">
        <v>1</v>
      </c>
      <c r="I31" s="560">
        <v>0</v>
      </c>
      <c r="J31" s="560">
        <f t="shared" si="1"/>
        <v>2.0000000000000018E-2</v>
      </c>
      <c r="K31" s="53"/>
      <c r="L31" s="53"/>
      <c r="M31" s="53"/>
      <c r="N31" s="53"/>
      <c r="O31" s="53"/>
      <c r="P31" s="53"/>
      <c r="Q31" s="53"/>
      <c r="R31" s="53"/>
      <c r="S31" s="53"/>
      <c r="T31" s="53"/>
      <c r="U31" s="53"/>
      <c r="V31" s="53"/>
    </row>
    <row r="32" spans="2:22" s="1119" customFormat="1">
      <c r="B32" s="105" t="s">
        <v>826</v>
      </c>
      <c r="C32" s="1117">
        <v>42767</v>
      </c>
      <c r="D32" s="456">
        <f>ROUND(7883313/10^7,2)</f>
        <v>0.79</v>
      </c>
      <c r="E32" s="1116">
        <v>42824</v>
      </c>
      <c r="F32" s="1116">
        <v>42797</v>
      </c>
      <c r="G32" s="287">
        <f>ROUND(7804480/10^7,2)</f>
        <v>0.78</v>
      </c>
      <c r="H32" s="1120">
        <v>1</v>
      </c>
      <c r="I32" s="560">
        <v>0</v>
      </c>
      <c r="J32" s="560">
        <f t="shared" si="1"/>
        <v>1.0000000000000009E-2</v>
      </c>
      <c r="K32" s="28"/>
      <c r="L32" s="28"/>
      <c r="M32" s="28"/>
      <c r="N32" s="28"/>
      <c r="O32" s="28"/>
      <c r="P32" s="28"/>
      <c r="Q32" s="28"/>
      <c r="R32" s="28"/>
      <c r="S32" s="28"/>
      <c r="T32" s="28"/>
      <c r="U32" s="28"/>
      <c r="V32" s="28"/>
    </row>
    <row r="33" spans="2:22" s="18" customFormat="1">
      <c r="B33" s="105" t="s">
        <v>825</v>
      </c>
      <c r="C33" s="1117">
        <v>42795</v>
      </c>
      <c r="D33" s="456">
        <f>ROUND((23784779+105750)/10^7,2)</f>
        <v>2.39</v>
      </c>
      <c r="E33" s="1121">
        <v>42855</v>
      </c>
      <c r="F33" s="1121">
        <v>42830</v>
      </c>
      <c r="G33" s="233">
        <f>ROUND((23546931+105750)/10^7,2)</f>
        <v>2.37</v>
      </c>
      <c r="H33" s="1113">
        <v>1</v>
      </c>
      <c r="I33" s="560">
        <v>0</v>
      </c>
      <c r="J33" s="560">
        <f t="shared" si="1"/>
        <v>2.0000000000000018E-2</v>
      </c>
      <c r="K33" s="53"/>
      <c r="L33" s="53"/>
      <c r="M33" s="53"/>
      <c r="N33" s="53"/>
      <c r="O33" s="53"/>
      <c r="P33" s="53"/>
      <c r="Q33" s="53"/>
      <c r="R33" s="53"/>
      <c r="S33" s="53"/>
      <c r="T33" s="53"/>
      <c r="U33" s="53"/>
      <c r="V33" s="53"/>
    </row>
    <row r="34" spans="2:22" s="1119" customFormat="1">
      <c r="B34" s="105" t="s">
        <v>826</v>
      </c>
      <c r="C34" s="1117">
        <v>42795</v>
      </c>
      <c r="D34" s="456">
        <f>ROUND(7952966/10^7,2)</f>
        <v>0.8</v>
      </c>
      <c r="E34" s="1121">
        <v>42855</v>
      </c>
      <c r="F34" s="1121">
        <v>42830</v>
      </c>
      <c r="G34" s="456">
        <f>ROUND(7873436/10^7,2)</f>
        <v>0.79</v>
      </c>
      <c r="H34" s="1120">
        <v>1</v>
      </c>
      <c r="I34" s="560">
        <v>0</v>
      </c>
      <c r="J34" s="560">
        <f t="shared" si="1"/>
        <v>1.0000000000000009E-2</v>
      </c>
      <c r="K34" s="28"/>
      <c r="L34" s="28"/>
      <c r="M34" s="28"/>
      <c r="N34" s="28"/>
      <c r="O34" s="28"/>
      <c r="P34" s="28"/>
      <c r="Q34" s="28"/>
      <c r="R34" s="28"/>
      <c r="S34" s="28"/>
      <c r="T34" s="28"/>
      <c r="U34" s="28"/>
      <c r="V34" s="28"/>
    </row>
    <row r="35" spans="2:22" s="18" customFormat="1">
      <c r="B35" s="248" t="s">
        <v>115</v>
      </c>
      <c r="C35" s="233"/>
      <c r="D35" s="233"/>
      <c r="E35" s="233"/>
      <c r="F35" s="233"/>
      <c r="G35" s="233"/>
      <c r="H35" s="233"/>
      <c r="I35" s="560"/>
      <c r="J35" s="560"/>
      <c r="K35" s="53"/>
      <c r="L35" s="53"/>
      <c r="M35" s="53"/>
      <c r="N35" s="53"/>
      <c r="O35" s="53"/>
      <c r="P35" s="53"/>
      <c r="Q35" s="53"/>
      <c r="R35" s="53"/>
      <c r="S35" s="53"/>
      <c r="T35" s="53"/>
      <c r="U35" s="53"/>
    </row>
    <row r="36" spans="2:22" s="18" customFormat="1">
      <c r="B36" s="301"/>
      <c r="C36" s="302"/>
      <c r="D36" s="302"/>
      <c r="E36" s="302"/>
      <c r="F36" s="302"/>
      <c r="G36" s="302"/>
      <c r="H36" s="302"/>
      <c r="I36" s="53"/>
      <c r="J36" s="53"/>
      <c r="K36" s="53"/>
      <c r="L36" s="53"/>
      <c r="M36" s="53"/>
      <c r="N36" s="53"/>
      <c r="O36" s="53"/>
      <c r="P36" s="53"/>
      <c r="Q36" s="53"/>
      <c r="R36" s="53"/>
      <c r="S36" s="53"/>
      <c r="T36" s="53"/>
      <c r="U36" s="53"/>
    </row>
    <row r="37" spans="2:22" s="18" customFormat="1">
      <c r="B37" s="53"/>
      <c r="C37" s="302"/>
      <c r="D37" s="302"/>
      <c r="E37" s="302"/>
      <c r="F37" s="302"/>
      <c r="G37" s="302"/>
      <c r="H37" s="302"/>
      <c r="I37" s="53"/>
      <c r="J37" s="53"/>
      <c r="K37" s="53"/>
      <c r="L37" s="53"/>
      <c r="M37" s="53"/>
      <c r="N37" s="53"/>
      <c r="O37" s="53"/>
      <c r="P37" s="53"/>
      <c r="Q37" s="53"/>
      <c r="R37" s="53"/>
      <c r="S37" s="53"/>
      <c r="T37" s="53"/>
      <c r="U37" s="53"/>
    </row>
    <row r="38" spans="2:22" s="18" customFormat="1">
      <c r="B38" s="301" t="s">
        <v>611</v>
      </c>
      <c r="C38" s="302"/>
      <c r="D38" s="302"/>
      <c r="E38" s="302"/>
      <c r="F38" s="302"/>
      <c r="G38" s="302"/>
      <c r="H38" s="302"/>
      <c r="I38" s="53"/>
      <c r="J38" s="53"/>
      <c r="K38" s="53"/>
      <c r="L38" s="53"/>
      <c r="M38" s="53"/>
      <c r="N38" s="53"/>
      <c r="O38" s="53"/>
      <c r="P38" s="53"/>
      <c r="Q38" s="53"/>
      <c r="R38" s="53"/>
      <c r="S38" s="53"/>
      <c r="T38" s="53"/>
      <c r="U38" s="53"/>
    </row>
    <row r="39" spans="2:22" s="18" customFormat="1">
      <c r="K39" s="53"/>
      <c r="L39" s="53"/>
      <c r="M39" s="53"/>
      <c r="N39" s="53"/>
      <c r="O39" s="53"/>
      <c r="P39" s="53"/>
      <c r="Q39" s="53"/>
      <c r="R39" s="53"/>
      <c r="S39" s="53"/>
      <c r="T39" s="53"/>
      <c r="U39" s="53"/>
    </row>
    <row r="40" spans="2:22" s="18" customFormat="1" ht="33.75" customHeight="1">
      <c r="B40" s="1543" t="s">
        <v>49</v>
      </c>
      <c r="C40" s="1540" t="s">
        <v>489</v>
      </c>
      <c r="D40" s="1541"/>
      <c r="E40" s="1541"/>
      <c r="F40" s="1542"/>
      <c r="G40" s="1540" t="s">
        <v>482</v>
      </c>
      <c r="H40" s="1541"/>
      <c r="I40" s="1542"/>
      <c r="J40" s="1535" t="s">
        <v>483</v>
      </c>
      <c r="K40" s="1077" t="s">
        <v>484</v>
      </c>
      <c r="L40" s="53"/>
      <c r="M40" s="53"/>
      <c r="N40" s="53"/>
      <c r="O40" s="53"/>
      <c r="P40" s="53"/>
      <c r="Q40" s="53"/>
      <c r="R40" s="53"/>
      <c r="S40" s="53"/>
      <c r="T40" s="53"/>
    </row>
    <row r="41" spans="2:22" s="18" customFormat="1" ht="28.5">
      <c r="B41" s="1545"/>
      <c r="C41" s="1078" t="s">
        <v>1230</v>
      </c>
      <c r="D41" s="1078" t="s">
        <v>1028</v>
      </c>
      <c r="E41" s="1078" t="s">
        <v>486</v>
      </c>
      <c r="F41" s="1078" t="s">
        <v>487</v>
      </c>
      <c r="G41" s="1078" t="s">
        <v>485</v>
      </c>
      <c r="H41" s="1078" t="s">
        <v>486</v>
      </c>
      <c r="I41" s="1077" t="s">
        <v>490</v>
      </c>
      <c r="J41" s="1536"/>
      <c r="K41" s="1077"/>
      <c r="L41" s="53"/>
      <c r="M41" s="53"/>
      <c r="N41" s="53"/>
      <c r="O41" s="53"/>
      <c r="P41" s="53"/>
      <c r="Q41" s="53"/>
      <c r="R41" s="53"/>
      <c r="S41" s="53"/>
      <c r="T41" s="53"/>
    </row>
    <row r="42" spans="2:22" s="18" customFormat="1">
      <c r="B42" s="303"/>
      <c r="C42" s="304"/>
      <c r="D42" s="304"/>
      <c r="E42" s="304"/>
      <c r="F42" s="304"/>
      <c r="G42" s="304"/>
      <c r="H42" s="304"/>
      <c r="I42" s="146"/>
      <c r="J42" s="146"/>
      <c r="K42" s="146"/>
      <c r="L42" s="53"/>
      <c r="M42" s="53"/>
      <c r="N42" s="53"/>
      <c r="O42" s="53"/>
      <c r="P42" s="53"/>
      <c r="Q42" s="53"/>
      <c r="R42" s="53"/>
      <c r="S42" s="53"/>
      <c r="T42" s="53"/>
    </row>
    <row r="43" spans="2:22" s="27" customFormat="1">
      <c r="B43" s="248" t="s">
        <v>491</v>
      </c>
      <c r="C43" s="233"/>
      <c r="D43" s="233"/>
      <c r="E43" s="233"/>
      <c r="F43" s="233"/>
      <c r="G43" s="233"/>
      <c r="H43" s="233"/>
      <c r="I43" s="233"/>
      <c r="J43" s="105"/>
      <c r="K43" s="105"/>
      <c r="L43" s="53"/>
      <c r="M43" s="53"/>
      <c r="N43" s="53"/>
      <c r="O43" s="53"/>
      <c r="P43" s="53"/>
      <c r="Q43" s="53"/>
      <c r="R43" s="53"/>
      <c r="S43" s="53"/>
      <c r="T43" s="53"/>
    </row>
    <row r="44" spans="2:22" s="27" customFormat="1">
      <c r="B44" s="105" t="s">
        <v>1286</v>
      </c>
      <c r="C44" s="1116">
        <v>42143</v>
      </c>
      <c r="D44" s="1116">
        <v>42169</v>
      </c>
      <c r="E44" s="1138">
        <v>0.64260739726027394</v>
      </c>
      <c r="F44" s="1116">
        <v>42170</v>
      </c>
      <c r="G44" s="1116">
        <f>F44</f>
        <v>42170</v>
      </c>
      <c r="H44" s="1139">
        <f>E44</f>
        <v>0.64260739726027394</v>
      </c>
      <c r="I44" s="1140">
        <v>2.0999999999999999E-3</v>
      </c>
      <c r="J44" s="105">
        <v>0</v>
      </c>
      <c r="K44" s="1141">
        <v>61.969589999999997</v>
      </c>
      <c r="L44" s="53"/>
      <c r="M44" s="53"/>
      <c r="N44" s="53"/>
      <c r="O44" s="53"/>
      <c r="P44" s="53"/>
      <c r="Q44" s="53"/>
      <c r="R44" s="53"/>
      <c r="S44" s="53"/>
      <c r="T44" s="53"/>
    </row>
    <row r="45" spans="2:22" s="27" customFormat="1">
      <c r="B45" s="105" t="s">
        <v>1286</v>
      </c>
      <c r="C45" s="1116">
        <v>42170</v>
      </c>
      <c r="D45" s="1116">
        <v>42199</v>
      </c>
      <c r="E45" s="1138">
        <v>0.69832309191780817</v>
      </c>
      <c r="F45" s="1116">
        <v>42200</v>
      </c>
      <c r="G45" s="1116">
        <f t="shared" ref="G45:G54" si="2">F45</f>
        <v>42200</v>
      </c>
      <c r="H45" s="1139">
        <f t="shared" ref="H45:H54" si="3">E45</f>
        <v>0.69832309191780817</v>
      </c>
      <c r="I45" s="1140">
        <v>2.0999999999999999E-3</v>
      </c>
      <c r="J45" s="105">
        <v>0</v>
      </c>
      <c r="K45" s="1141">
        <v>61.839179999999999</v>
      </c>
      <c r="L45" s="53"/>
      <c r="M45" s="53"/>
      <c r="N45" s="53"/>
      <c r="O45" s="53"/>
      <c r="P45" s="53"/>
      <c r="Q45" s="53"/>
      <c r="R45" s="53"/>
      <c r="S45" s="53"/>
      <c r="T45" s="53"/>
    </row>
    <row r="46" spans="2:22" s="27" customFormat="1">
      <c r="B46" s="105" t="s">
        <v>1286</v>
      </c>
      <c r="C46" s="1116">
        <v>42200</v>
      </c>
      <c r="D46" s="1116">
        <v>42230</v>
      </c>
      <c r="E46" s="1138">
        <v>0.71601856347945192</v>
      </c>
      <c r="F46" s="1116">
        <v>42231</v>
      </c>
      <c r="G46" s="1116">
        <f t="shared" si="2"/>
        <v>42231</v>
      </c>
      <c r="H46" s="1139">
        <f t="shared" si="3"/>
        <v>0.71601856347945192</v>
      </c>
      <c r="I46" s="1140">
        <v>2.0999999999999999E-3</v>
      </c>
      <c r="J46" s="105">
        <v>0</v>
      </c>
      <c r="K46" s="1141">
        <v>61.708770000000001</v>
      </c>
      <c r="L46" s="53"/>
      <c r="M46" s="53"/>
      <c r="N46" s="53"/>
      <c r="O46" s="53"/>
      <c r="P46" s="53"/>
      <c r="Q46" s="53"/>
      <c r="R46" s="53"/>
      <c r="S46" s="53"/>
      <c r="T46" s="53"/>
    </row>
    <row r="47" spans="2:22" s="27" customFormat="1">
      <c r="B47" s="105" t="s">
        <v>1286</v>
      </c>
      <c r="C47" s="1116">
        <v>42231</v>
      </c>
      <c r="D47" s="1116">
        <v>42261</v>
      </c>
      <c r="E47" s="1138">
        <v>0.71478359864383567</v>
      </c>
      <c r="F47" s="1116">
        <v>42262</v>
      </c>
      <c r="G47" s="1116">
        <f t="shared" si="2"/>
        <v>42262</v>
      </c>
      <c r="H47" s="1139">
        <f t="shared" si="3"/>
        <v>0.71478359864383567</v>
      </c>
      <c r="I47" s="1140">
        <v>2.0999999999999999E-3</v>
      </c>
      <c r="J47" s="105">
        <v>0</v>
      </c>
      <c r="K47" s="1141">
        <v>61.578360000000004</v>
      </c>
      <c r="L47" s="53"/>
      <c r="M47" s="53"/>
      <c r="N47" s="53"/>
      <c r="O47" s="53"/>
      <c r="P47" s="53"/>
      <c r="Q47" s="53"/>
      <c r="R47" s="53"/>
      <c r="S47" s="53"/>
      <c r="T47" s="53"/>
    </row>
    <row r="48" spans="2:22" s="27" customFormat="1">
      <c r="B48" s="105" t="s">
        <v>1286</v>
      </c>
      <c r="C48" s="1116">
        <v>42231</v>
      </c>
      <c r="D48" s="1116">
        <v>42291</v>
      </c>
      <c r="E48" s="1138">
        <v>0.68883293589041095</v>
      </c>
      <c r="F48" s="1116">
        <v>42292</v>
      </c>
      <c r="G48" s="1116">
        <f t="shared" si="2"/>
        <v>42292</v>
      </c>
      <c r="H48" s="1139">
        <f t="shared" si="3"/>
        <v>0.68883293589041095</v>
      </c>
      <c r="I48" s="1140">
        <v>2.0999999999999999E-3</v>
      </c>
      <c r="J48" s="105">
        <v>0</v>
      </c>
      <c r="K48" s="1141">
        <v>61.447949999999999</v>
      </c>
      <c r="L48" s="53"/>
      <c r="M48" s="53"/>
      <c r="N48" s="53"/>
      <c r="O48" s="53"/>
      <c r="P48" s="53"/>
      <c r="Q48" s="53"/>
      <c r="R48" s="53"/>
      <c r="S48" s="53"/>
      <c r="T48" s="53"/>
    </row>
    <row r="49" spans="2:22" s="18" customFormat="1">
      <c r="B49" s="105" t="s">
        <v>1286</v>
      </c>
      <c r="C49" s="1116">
        <v>42292</v>
      </c>
      <c r="D49" s="1116">
        <v>42322</v>
      </c>
      <c r="E49" s="1138">
        <v>0.69926650150684933</v>
      </c>
      <c r="F49" s="1116">
        <v>42323</v>
      </c>
      <c r="G49" s="1116">
        <f t="shared" si="2"/>
        <v>42323</v>
      </c>
      <c r="H49" s="1139">
        <f t="shared" si="3"/>
        <v>0.69926650150684933</v>
      </c>
      <c r="I49" s="1140">
        <v>2.0999999999999999E-3</v>
      </c>
      <c r="J49" s="105">
        <v>0</v>
      </c>
      <c r="K49" s="1141">
        <v>61.317540000000001</v>
      </c>
      <c r="L49" s="53"/>
      <c r="M49" s="53"/>
      <c r="N49" s="53"/>
      <c r="O49" s="53"/>
      <c r="P49" s="53"/>
      <c r="Q49" s="53"/>
      <c r="R49" s="53"/>
      <c r="S49" s="53"/>
      <c r="T49" s="53"/>
    </row>
    <row r="50" spans="2:22" s="18" customFormat="1">
      <c r="B50" s="105" t="s">
        <v>1286</v>
      </c>
      <c r="C50" s="1116">
        <v>42323</v>
      </c>
      <c r="D50" s="1116">
        <v>42352</v>
      </c>
      <c r="E50" s="1138">
        <v>0.67974796109589042</v>
      </c>
      <c r="F50" s="1116">
        <v>42353</v>
      </c>
      <c r="G50" s="1116">
        <f t="shared" si="2"/>
        <v>42353</v>
      </c>
      <c r="H50" s="1139">
        <f t="shared" si="3"/>
        <v>0.67974796109589042</v>
      </c>
      <c r="I50" s="1140">
        <v>2.0999999999999999E-3</v>
      </c>
      <c r="J50" s="105">
        <v>0</v>
      </c>
      <c r="K50" s="1141">
        <v>61.187130000000003</v>
      </c>
      <c r="L50" s="53"/>
      <c r="M50" s="53"/>
      <c r="N50" s="53"/>
      <c r="O50" s="53"/>
      <c r="P50" s="53"/>
      <c r="Q50" s="53"/>
      <c r="R50" s="53"/>
      <c r="S50" s="53"/>
      <c r="T50" s="53"/>
    </row>
    <row r="51" spans="2:22" s="18" customFormat="1">
      <c r="B51" s="105" t="s">
        <v>1286</v>
      </c>
      <c r="C51" s="1116">
        <v>42353</v>
      </c>
      <c r="D51" s="1116">
        <v>42383</v>
      </c>
      <c r="E51" s="1138">
        <v>0.6968519514246575</v>
      </c>
      <c r="F51" s="1116">
        <v>42384</v>
      </c>
      <c r="G51" s="1116">
        <f t="shared" si="2"/>
        <v>42384</v>
      </c>
      <c r="H51" s="1139">
        <f t="shared" si="3"/>
        <v>0.6968519514246575</v>
      </c>
      <c r="I51" s="1140">
        <v>2.0999999999999999E-3</v>
      </c>
      <c r="J51" s="105">
        <v>0</v>
      </c>
      <c r="K51" s="1141">
        <v>61.056719999999999</v>
      </c>
      <c r="L51" s="53"/>
      <c r="M51" s="53"/>
      <c r="N51" s="53"/>
      <c r="O51" s="53"/>
      <c r="P51" s="53"/>
      <c r="Q51" s="53"/>
      <c r="R51" s="53"/>
      <c r="S51" s="53"/>
      <c r="T51" s="53"/>
    </row>
    <row r="52" spans="2:22" s="27" customFormat="1">
      <c r="B52" s="105" t="s">
        <v>1286</v>
      </c>
      <c r="C52" s="1116">
        <v>42384</v>
      </c>
      <c r="D52" s="1116">
        <v>42414</v>
      </c>
      <c r="E52" s="1138">
        <v>0.69564467638356164</v>
      </c>
      <c r="F52" s="1116">
        <v>42415</v>
      </c>
      <c r="G52" s="1116">
        <f t="shared" si="2"/>
        <v>42415</v>
      </c>
      <c r="H52" s="1139">
        <f t="shared" si="3"/>
        <v>0.69564467638356164</v>
      </c>
      <c r="I52" s="1140">
        <v>2.0999999999999999E-3</v>
      </c>
      <c r="J52" s="105">
        <v>0</v>
      </c>
      <c r="K52" s="1141">
        <v>60.926310000000001</v>
      </c>
      <c r="L52" s="53"/>
      <c r="M52" s="53"/>
      <c r="N52" s="53"/>
      <c r="O52" s="53"/>
      <c r="P52" s="53"/>
      <c r="Q52" s="53"/>
      <c r="R52" s="53"/>
      <c r="S52" s="53"/>
      <c r="T52" s="53"/>
    </row>
    <row r="53" spans="2:22" s="18" customFormat="1">
      <c r="B53" s="105" t="s">
        <v>1286</v>
      </c>
      <c r="C53" s="1116">
        <v>42415</v>
      </c>
      <c r="D53" s="1116">
        <v>42443</v>
      </c>
      <c r="E53" s="1138">
        <v>0.65804853673972596</v>
      </c>
      <c r="F53" s="1116">
        <v>42444</v>
      </c>
      <c r="G53" s="1116">
        <f t="shared" si="2"/>
        <v>42444</v>
      </c>
      <c r="H53" s="1139">
        <f t="shared" si="3"/>
        <v>0.65804853673972596</v>
      </c>
      <c r="I53" s="1140">
        <v>2.0999999999999999E-3</v>
      </c>
      <c r="J53" s="105">
        <v>0</v>
      </c>
      <c r="K53" s="1141">
        <v>60.795900000000003</v>
      </c>
      <c r="L53" s="53"/>
      <c r="M53" s="53"/>
      <c r="N53" s="53"/>
      <c r="O53" s="53"/>
      <c r="P53" s="53"/>
      <c r="Q53" s="53"/>
      <c r="R53" s="53"/>
      <c r="S53" s="53"/>
      <c r="T53" s="53"/>
    </row>
    <row r="54" spans="2:22" s="18" customFormat="1">
      <c r="B54" s="105" t="s">
        <v>1286</v>
      </c>
      <c r="C54" s="1116">
        <v>42444</v>
      </c>
      <c r="D54" s="1116">
        <v>42474</v>
      </c>
      <c r="E54" s="1138">
        <v>0.69323012630136993</v>
      </c>
      <c r="F54" s="1116">
        <v>42475</v>
      </c>
      <c r="G54" s="1116">
        <f t="shared" si="2"/>
        <v>42475</v>
      </c>
      <c r="H54" s="1139">
        <f t="shared" si="3"/>
        <v>0.69323012630136993</v>
      </c>
      <c r="I54" s="1140">
        <v>2.0999999999999999E-3</v>
      </c>
      <c r="J54" s="105">
        <v>0</v>
      </c>
      <c r="K54" s="1141">
        <v>60.665489999999998</v>
      </c>
      <c r="L54" s="53"/>
      <c r="M54" s="53"/>
      <c r="N54" s="53"/>
      <c r="O54" s="53"/>
      <c r="P54" s="53"/>
      <c r="Q54" s="53"/>
      <c r="R54" s="53"/>
      <c r="S54" s="53"/>
      <c r="T54" s="53"/>
    </row>
    <row r="55" spans="2:22" s="18" customFormat="1">
      <c r="B55" s="248" t="s">
        <v>115</v>
      </c>
      <c r="C55" s="233"/>
      <c r="D55" s="233"/>
      <c r="E55" s="1142">
        <f>SUM(E44:E54)</f>
        <v>7.5833553406438368</v>
      </c>
      <c r="F55" s="233"/>
      <c r="G55" s="233"/>
      <c r="H55" s="1142">
        <f>SUM(H44:H54)</f>
        <v>7.5833553406438368</v>
      </c>
      <c r="I55" s="233"/>
      <c r="J55" s="105"/>
      <c r="K55" s="1143"/>
      <c r="L55" s="53"/>
      <c r="M55" s="53"/>
      <c r="N55" s="53"/>
      <c r="O55" s="53"/>
      <c r="P55" s="53"/>
      <c r="Q55" s="53"/>
      <c r="R55" s="53"/>
      <c r="S55" s="53"/>
      <c r="T55" s="53"/>
    </row>
    <row r="56" spans="2:22" s="18" customFormat="1">
      <c r="K56" s="53"/>
      <c r="L56" s="53"/>
      <c r="M56" s="53"/>
      <c r="N56" s="53"/>
      <c r="O56" s="53"/>
      <c r="P56" s="53"/>
      <c r="Q56" s="53"/>
      <c r="R56" s="53"/>
      <c r="S56" s="53"/>
      <c r="T56" s="53"/>
      <c r="U56" s="53"/>
    </row>
    <row r="57" spans="2:22" s="18" customFormat="1">
      <c r="K57" s="53"/>
      <c r="L57" s="53"/>
      <c r="M57" s="53"/>
      <c r="N57" s="53"/>
      <c r="O57" s="53"/>
      <c r="P57" s="53"/>
      <c r="Q57" s="53"/>
      <c r="R57" s="53"/>
      <c r="S57" s="53"/>
      <c r="T57" s="53"/>
      <c r="U57" s="53"/>
    </row>
    <row r="58" spans="2:22" s="18" customFormat="1">
      <c r="B58" s="71" t="s">
        <v>387</v>
      </c>
      <c r="C58" s="91"/>
      <c r="D58" s="91"/>
      <c r="E58" s="91"/>
      <c r="F58" s="91"/>
      <c r="G58" s="91"/>
      <c r="H58" s="91"/>
    </row>
    <row r="59" spans="2:22" s="18" customFormat="1">
      <c r="B59" s="71"/>
      <c r="C59" s="91"/>
      <c r="D59" s="91"/>
      <c r="E59" s="91"/>
      <c r="F59" s="91"/>
      <c r="G59" s="91"/>
      <c r="H59" s="91"/>
    </row>
    <row r="60" spans="2:22" s="18" customFormat="1">
      <c r="B60" s="71" t="s">
        <v>480</v>
      </c>
      <c r="C60" s="91"/>
      <c r="D60" s="91"/>
      <c r="E60" s="91"/>
      <c r="F60" s="91"/>
      <c r="G60" s="91"/>
      <c r="H60" s="91"/>
    </row>
    <row r="61" spans="2:22" s="18" customFormat="1">
      <c r="B61" s="71"/>
      <c r="C61" s="91"/>
      <c r="D61" s="91"/>
      <c r="E61" s="91"/>
      <c r="F61" s="91"/>
      <c r="G61" s="91"/>
      <c r="H61" s="91"/>
    </row>
    <row r="62" spans="2:22" s="18" customFormat="1">
      <c r="B62" s="1543" t="s">
        <v>49</v>
      </c>
      <c r="C62" s="1540" t="s">
        <v>481</v>
      </c>
      <c r="D62" s="1541"/>
      <c r="E62" s="1542"/>
      <c r="F62" s="1540" t="s">
        <v>482</v>
      </c>
      <c r="G62" s="1541"/>
      <c r="H62" s="1542"/>
      <c r="I62" s="1539" t="s">
        <v>483</v>
      </c>
      <c r="J62" s="1539" t="s">
        <v>484</v>
      </c>
      <c r="K62" s="53"/>
      <c r="L62" s="53"/>
      <c r="M62" s="53"/>
      <c r="N62" s="53"/>
      <c r="O62" s="53"/>
      <c r="P62" s="53"/>
      <c r="Q62" s="53"/>
      <c r="R62" s="53"/>
      <c r="S62" s="53"/>
      <c r="T62" s="53"/>
      <c r="U62" s="53"/>
      <c r="V62" s="53"/>
    </row>
    <row r="63" spans="2:22" s="18" customFormat="1" ht="28.5">
      <c r="B63" s="1545"/>
      <c r="C63" s="1078" t="s">
        <v>485</v>
      </c>
      <c r="D63" s="1078" t="s">
        <v>486</v>
      </c>
      <c r="E63" s="1078" t="s">
        <v>487</v>
      </c>
      <c r="F63" s="1078" t="s">
        <v>485</v>
      </c>
      <c r="G63" s="1078" t="s">
        <v>486</v>
      </c>
      <c r="H63" s="1077" t="s">
        <v>488</v>
      </c>
      <c r="I63" s="1539"/>
      <c r="J63" s="1539"/>
      <c r="K63" s="53"/>
      <c r="L63" s="53"/>
      <c r="M63" s="53"/>
      <c r="N63" s="53"/>
      <c r="O63" s="53"/>
      <c r="P63" s="53"/>
      <c r="Q63" s="53"/>
      <c r="R63" s="53"/>
      <c r="S63" s="53"/>
      <c r="T63" s="53"/>
      <c r="U63" s="53"/>
      <c r="V63" s="53"/>
    </row>
    <row r="64" spans="2:22" s="18" customFormat="1">
      <c r="B64" s="105" t="s">
        <v>825</v>
      </c>
      <c r="C64" s="1110">
        <v>42826</v>
      </c>
      <c r="D64" s="1114">
        <f>ROUND((23378626+79644)/10^7,2)</f>
        <v>2.35</v>
      </c>
      <c r="E64" s="1115">
        <v>42885</v>
      </c>
      <c r="F64" s="1115">
        <v>42859</v>
      </c>
      <c r="G64" s="1118">
        <f t="shared" ref="G64:G71" si="4">D64*(1-1%)</f>
        <v>2.3265000000000002</v>
      </c>
      <c r="H64" s="1113">
        <v>1</v>
      </c>
      <c r="I64" s="560">
        <v>0</v>
      </c>
      <c r="J64" s="560">
        <v>0</v>
      </c>
      <c r="K64" s="53"/>
      <c r="L64" s="53"/>
      <c r="M64" s="53"/>
      <c r="N64" s="53"/>
      <c r="O64" s="53"/>
      <c r="P64" s="53"/>
      <c r="Q64" s="53"/>
      <c r="R64" s="53"/>
      <c r="S64" s="53"/>
      <c r="T64" s="53"/>
      <c r="U64" s="53"/>
      <c r="V64" s="53"/>
    </row>
    <row r="65" spans="2:22" s="18" customFormat="1">
      <c r="B65" s="105" t="s">
        <v>826</v>
      </c>
      <c r="C65" s="1110">
        <v>42826</v>
      </c>
      <c r="D65" s="1114">
        <f>ROUND(7861305/10^7,2)</f>
        <v>0.79</v>
      </c>
      <c r="E65" s="1115">
        <v>42885</v>
      </c>
      <c r="F65" s="1115">
        <v>42859</v>
      </c>
      <c r="G65" s="1118">
        <f t="shared" si="4"/>
        <v>0.78210000000000002</v>
      </c>
      <c r="H65" s="1113">
        <v>1</v>
      </c>
      <c r="I65" s="560">
        <v>0</v>
      </c>
      <c r="J65" s="560">
        <v>0</v>
      </c>
      <c r="K65" s="53"/>
      <c r="L65" s="53"/>
      <c r="M65" s="53"/>
      <c r="N65" s="53"/>
      <c r="O65" s="53"/>
      <c r="P65" s="53"/>
      <c r="Q65" s="53"/>
      <c r="R65" s="53"/>
      <c r="S65" s="53"/>
      <c r="T65" s="53"/>
      <c r="U65" s="53"/>
      <c r="V65" s="53"/>
    </row>
    <row r="66" spans="2:22" s="18" customFormat="1">
      <c r="B66" s="105" t="s">
        <v>825</v>
      </c>
      <c r="C66" s="1110">
        <v>42856</v>
      </c>
      <c r="D66" s="1114">
        <f>ROUND(23801029/10^7,2)</f>
        <v>2.38</v>
      </c>
      <c r="E66" s="1116">
        <v>42916</v>
      </c>
      <c r="F66" s="1116">
        <v>42891</v>
      </c>
      <c r="G66" s="1118">
        <f t="shared" si="4"/>
        <v>2.3561999999999999</v>
      </c>
      <c r="H66" s="1113">
        <v>1</v>
      </c>
      <c r="I66" s="560">
        <v>0</v>
      </c>
      <c r="J66" s="560">
        <v>0</v>
      </c>
      <c r="K66" s="53"/>
      <c r="L66" s="53"/>
      <c r="M66" s="53"/>
      <c r="N66" s="53"/>
      <c r="O66" s="53"/>
      <c r="P66" s="53"/>
      <c r="Q66" s="53"/>
      <c r="R66" s="53"/>
      <c r="S66" s="53"/>
      <c r="T66" s="53"/>
      <c r="U66" s="53"/>
      <c r="V66" s="53"/>
    </row>
    <row r="67" spans="2:22" s="18" customFormat="1">
      <c r="B67" s="105" t="s">
        <v>826</v>
      </c>
      <c r="C67" s="1110">
        <v>42856</v>
      </c>
      <c r="D67" s="233">
        <f>ROUND(8822289/10^7,2)</f>
        <v>0.88</v>
      </c>
      <c r="E67" s="1116">
        <v>42916</v>
      </c>
      <c r="F67" s="1116">
        <v>42891</v>
      </c>
      <c r="G67" s="1118">
        <f t="shared" si="4"/>
        <v>0.87119999999999997</v>
      </c>
      <c r="H67" s="1113">
        <v>1</v>
      </c>
      <c r="I67" s="560">
        <v>0</v>
      </c>
      <c r="J67" s="560">
        <v>0</v>
      </c>
      <c r="K67" s="53"/>
      <c r="L67" s="53"/>
      <c r="M67" s="53"/>
      <c r="N67" s="53"/>
      <c r="O67" s="53"/>
      <c r="P67" s="53"/>
      <c r="Q67" s="53"/>
      <c r="R67" s="53"/>
      <c r="S67" s="53"/>
      <c r="T67" s="53"/>
      <c r="U67" s="53"/>
      <c r="V67" s="53"/>
    </row>
    <row r="68" spans="2:22" s="18" customFormat="1">
      <c r="B68" s="105" t="s">
        <v>825</v>
      </c>
      <c r="C68" s="1110">
        <v>42887</v>
      </c>
      <c r="D68" s="233">
        <f>ROUND(23259056/10^7,2)</f>
        <v>2.33</v>
      </c>
      <c r="E68" s="1116">
        <v>42946</v>
      </c>
      <c r="F68" s="1116">
        <v>42921</v>
      </c>
      <c r="G68" s="1118">
        <f t="shared" si="4"/>
        <v>2.3067000000000002</v>
      </c>
      <c r="H68" s="1113">
        <v>1</v>
      </c>
      <c r="I68" s="560">
        <v>0</v>
      </c>
      <c r="J68" s="560">
        <v>0</v>
      </c>
      <c r="K68" s="53"/>
      <c r="L68" s="53"/>
      <c r="M68" s="53"/>
      <c r="N68" s="53"/>
      <c r="O68" s="53"/>
      <c r="P68" s="53"/>
      <c r="Q68" s="53"/>
      <c r="R68" s="53"/>
      <c r="S68" s="53"/>
      <c r="T68" s="53"/>
      <c r="U68" s="53"/>
      <c r="V68" s="53"/>
    </row>
    <row r="69" spans="2:22" s="18" customFormat="1">
      <c r="B69" s="105" t="s">
        <v>826</v>
      </c>
      <c r="C69" s="1110">
        <v>42887</v>
      </c>
      <c r="D69" s="1118">
        <f>ROUND(9000287/10^7,2)</f>
        <v>0.9</v>
      </c>
      <c r="E69" s="1116">
        <v>42946</v>
      </c>
      <c r="F69" s="1116">
        <v>42921</v>
      </c>
      <c r="G69" s="1118">
        <f t="shared" si="4"/>
        <v>0.89100000000000001</v>
      </c>
      <c r="H69" s="1113">
        <v>1</v>
      </c>
      <c r="I69" s="560">
        <v>0</v>
      </c>
      <c r="J69" s="560">
        <v>0</v>
      </c>
      <c r="K69" s="53"/>
      <c r="L69" s="53"/>
      <c r="M69" s="53"/>
      <c r="N69" s="53"/>
      <c r="O69" s="53"/>
      <c r="P69" s="53"/>
      <c r="Q69" s="53"/>
      <c r="R69" s="53"/>
      <c r="S69" s="53"/>
      <c r="T69" s="53"/>
      <c r="U69" s="53"/>
      <c r="V69" s="53"/>
    </row>
    <row r="70" spans="2:22" s="18" customFormat="1">
      <c r="B70" s="105" t="s">
        <v>825</v>
      </c>
      <c r="C70" s="1110">
        <v>42917</v>
      </c>
      <c r="D70" s="456">
        <f>ROUND(23380512/10^7,2)</f>
        <v>2.34</v>
      </c>
      <c r="E70" s="1121">
        <v>42977</v>
      </c>
      <c r="F70" s="1116">
        <v>42950</v>
      </c>
      <c r="G70" s="1118">
        <f t="shared" si="4"/>
        <v>2.3165999999999998</v>
      </c>
      <c r="H70" s="1113">
        <v>1</v>
      </c>
      <c r="I70" s="560">
        <v>0</v>
      </c>
      <c r="J70" s="560">
        <v>0</v>
      </c>
      <c r="K70" s="53"/>
      <c r="L70" s="53"/>
      <c r="M70" s="53"/>
      <c r="N70" s="53"/>
      <c r="O70" s="53"/>
      <c r="P70" s="53"/>
      <c r="Q70" s="53"/>
      <c r="R70" s="53"/>
      <c r="S70" s="53"/>
      <c r="T70" s="53"/>
      <c r="U70" s="53"/>
      <c r="V70" s="53"/>
    </row>
    <row r="71" spans="2:22" s="1119" customFormat="1">
      <c r="B71" s="105" t="s">
        <v>826</v>
      </c>
      <c r="C71" s="1110">
        <v>42917</v>
      </c>
      <c r="D71" s="287">
        <f>ROUND(8602464/10^7,2)</f>
        <v>0.86</v>
      </c>
      <c r="E71" s="1121">
        <v>42977</v>
      </c>
      <c r="F71" s="1116">
        <v>42950</v>
      </c>
      <c r="G71" s="1118">
        <f t="shared" si="4"/>
        <v>0.85139999999999993</v>
      </c>
      <c r="H71" s="1120">
        <v>1</v>
      </c>
      <c r="I71" s="560">
        <v>0</v>
      </c>
      <c r="J71" s="560">
        <v>0</v>
      </c>
      <c r="K71" s="28"/>
      <c r="L71" s="28"/>
      <c r="M71" s="28"/>
      <c r="N71" s="28"/>
      <c r="O71" s="28"/>
      <c r="P71" s="28"/>
      <c r="Q71" s="28"/>
      <c r="R71" s="28"/>
      <c r="S71" s="28"/>
      <c r="T71" s="28"/>
      <c r="U71" s="28"/>
      <c r="V71" s="28"/>
    </row>
    <row r="72" spans="2:22" s="18" customFormat="1">
      <c r="B72" s="105" t="s">
        <v>825</v>
      </c>
      <c r="C72" s="1110">
        <v>42948</v>
      </c>
      <c r="D72" s="456">
        <f>23192467/10^7</f>
        <v>2.3192466999999999</v>
      </c>
      <c r="E72" s="1116">
        <v>43008</v>
      </c>
      <c r="F72" s="1116">
        <v>43006</v>
      </c>
      <c r="G72" s="1118">
        <f>D72</f>
        <v>2.3192466999999999</v>
      </c>
      <c r="H72" s="1113">
        <v>1</v>
      </c>
      <c r="I72" s="560">
        <v>0</v>
      </c>
      <c r="J72" s="560">
        <v>0</v>
      </c>
      <c r="K72" s="53"/>
      <c r="L72" s="53"/>
      <c r="M72" s="53"/>
      <c r="N72" s="53"/>
      <c r="O72" s="53"/>
      <c r="P72" s="53"/>
      <c r="Q72" s="53"/>
      <c r="R72" s="53"/>
      <c r="S72" s="53"/>
      <c r="T72" s="53"/>
      <c r="U72" s="53"/>
      <c r="V72" s="53"/>
    </row>
    <row r="73" spans="2:22" s="1119" customFormat="1">
      <c r="B73" s="105" t="s">
        <v>826</v>
      </c>
      <c r="C73" s="1110">
        <v>42948</v>
      </c>
      <c r="D73" s="287">
        <f>ROUND(8858158/10^7,2)</f>
        <v>0.89</v>
      </c>
      <c r="E73" s="1116">
        <v>43008</v>
      </c>
      <c r="F73" s="1116">
        <v>43006</v>
      </c>
      <c r="G73" s="1118">
        <f>D73</f>
        <v>0.89</v>
      </c>
      <c r="H73" s="1120">
        <v>1</v>
      </c>
      <c r="I73" s="560">
        <v>0</v>
      </c>
      <c r="J73" s="560">
        <v>0</v>
      </c>
      <c r="K73" s="28"/>
      <c r="L73" s="28"/>
      <c r="M73" s="28"/>
      <c r="N73" s="28"/>
      <c r="O73" s="28"/>
      <c r="P73" s="28"/>
      <c r="Q73" s="28"/>
      <c r="R73" s="28"/>
      <c r="S73" s="28"/>
      <c r="T73" s="28"/>
      <c r="U73" s="28"/>
      <c r="V73" s="28"/>
    </row>
    <row r="74" spans="2:22" s="18" customFormat="1">
      <c r="B74" s="105" t="s">
        <v>825</v>
      </c>
      <c r="C74" s="1110">
        <v>42979</v>
      </c>
      <c r="D74" s="456">
        <f>ROUND(21674768/10^7,2)</f>
        <v>2.17</v>
      </c>
      <c r="E74" s="1116">
        <v>43038</v>
      </c>
      <c r="F74" s="1112">
        <v>43013</v>
      </c>
      <c r="G74" s="287">
        <f>ROUND(21458020/10^7,2)</f>
        <v>2.15</v>
      </c>
      <c r="H74" s="1113">
        <v>1</v>
      </c>
      <c r="I74" s="560">
        <v>0</v>
      </c>
      <c r="J74" s="560">
        <v>0</v>
      </c>
      <c r="K74" s="53"/>
      <c r="L74" s="53"/>
      <c r="M74" s="53"/>
      <c r="N74" s="53"/>
      <c r="O74" s="53"/>
      <c r="P74" s="53"/>
      <c r="Q74" s="53"/>
      <c r="R74" s="53"/>
      <c r="S74" s="53"/>
      <c r="T74" s="53"/>
      <c r="U74" s="53"/>
      <c r="V74" s="53"/>
    </row>
    <row r="75" spans="2:22" s="1119" customFormat="1">
      <c r="B75" s="105" t="s">
        <v>826</v>
      </c>
      <c r="C75" s="1110">
        <v>42979</v>
      </c>
      <c r="D75" s="287">
        <f>ROUND(9110377/10^7,2)</f>
        <v>0.91</v>
      </c>
      <c r="E75" s="1116">
        <v>43038</v>
      </c>
      <c r="F75" s="1112">
        <v>43013</v>
      </c>
      <c r="G75" s="287">
        <f>ROUND(9110377/10^7,2)</f>
        <v>0.91</v>
      </c>
      <c r="H75" s="1120">
        <v>1</v>
      </c>
      <c r="I75" s="560">
        <v>0</v>
      </c>
      <c r="J75" s="560">
        <v>0</v>
      </c>
      <c r="K75" s="28"/>
      <c r="L75" s="28"/>
      <c r="M75" s="28"/>
      <c r="N75" s="28"/>
      <c r="O75" s="28"/>
      <c r="P75" s="28"/>
      <c r="Q75" s="28"/>
      <c r="R75" s="28"/>
      <c r="S75" s="28"/>
      <c r="T75" s="28"/>
      <c r="U75" s="28"/>
      <c r="V75" s="28"/>
    </row>
    <row r="76" spans="2:22" s="18" customFormat="1">
      <c r="B76" s="105" t="s">
        <v>825</v>
      </c>
      <c r="C76" s="1110">
        <v>43009</v>
      </c>
      <c r="D76" s="456">
        <f>ROUND(22827309/10^7,2)</f>
        <v>2.2799999999999998</v>
      </c>
      <c r="E76" s="1116">
        <v>43069</v>
      </c>
      <c r="F76" s="1121">
        <v>43042</v>
      </c>
      <c r="G76" s="287">
        <f>ROUND(22599036/10^7,2)</f>
        <v>2.2599999999999998</v>
      </c>
      <c r="H76" s="1113">
        <v>1</v>
      </c>
      <c r="I76" s="560">
        <v>0</v>
      </c>
      <c r="J76" s="560">
        <v>0</v>
      </c>
      <c r="K76" s="53"/>
      <c r="L76" s="53"/>
      <c r="M76" s="53"/>
      <c r="N76" s="53"/>
      <c r="O76" s="53"/>
      <c r="P76" s="53"/>
      <c r="Q76" s="53"/>
      <c r="R76" s="53"/>
      <c r="S76" s="53"/>
      <c r="T76" s="53"/>
      <c r="U76" s="53"/>
      <c r="V76" s="53"/>
    </row>
    <row r="77" spans="2:22" s="1119" customFormat="1">
      <c r="B77" s="105" t="s">
        <v>826</v>
      </c>
      <c r="C77" s="1110">
        <v>43009</v>
      </c>
      <c r="D77" s="456">
        <f>ROUND(8991736/10^7,2)</f>
        <v>0.9</v>
      </c>
      <c r="E77" s="1116">
        <v>43069</v>
      </c>
      <c r="F77" s="1121">
        <v>43042</v>
      </c>
      <c r="G77" s="287">
        <f>ROUND(8901819/10^7,2)</f>
        <v>0.89</v>
      </c>
      <c r="H77" s="1120">
        <v>1</v>
      </c>
      <c r="I77" s="560">
        <v>0</v>
      </c>
      <c r="J77" s="560">
        <v>0</v>
      </c>
      <c r="K77" s="28"/>
      <c r="L77" s="28"/>
      <c r="M77" s="28"/>
      <c r="N77" s="28"/>
      <c r="O77" s="28"/>
      <c r="P77" s="28"/>
      <c r="Q77" s="28"/>
      <c r="R77" s="28"/>
      <c r="S77" s="28"/>
      <c r="T77" s="28"/>
      <c r="U77" s="28"/>
      <c r="V77" s="28"/>
    </row>
    <row r="78" spans="2:22" s="18" customFormat="1">
      <c r="B78" s="105" t="s">
        <v>825</v>
      </c>
      <c r="C78" s="1117">
        <v>43040</v>
      </c>
      <c r="D78" s="287">
        <f>ROUND(24897523/10^7,2)</f>
        <v>2.4900000000000002</v>
      </c>
      <c r="E78" s="1116">
        <v>43099</v>
      </c>
      <c r="F78" s="1116"/>
      <c r="G78" s="233"/>
      <c r="H78" s="1113">
        <v>1</v>
      </c>
      <c r="I78" s="560">
        <v>0</v>
      </c>
      <c r="J78" s="560">
        <v>0</v>
      </c>
      <c r="K78" s="53"/>
      <c r="L78" s="53"/>
      <c r="M78" s="53"/>
      <c r="N78" s="53"/>
      <c r="O78" s="53"/>
      <c r="P78" s="53"/>
      <c r="Q78" s="53"/>
      <c r="R78" s="53"/>
      <c r="S78" s="53"/>
      <c r="T78" s="53"/>
      <c r="U78" s="53"/>
      <c r="V78" s="53"/>
    </row>
    <row r="79" spans="2:22" s="1119" customFormat="1">
      <c r="B79" s="105" t="s">
        <v>826</v>
      </c>
      <c r="C79" s="1117">
        <v>43040</v>
      </c>
      <c r="D79" s="1122">
        <f>ROUND(10937099/10^7,2)</f>
        <v>1.0900000000000001</v>
      </c>
      <c r="E79" s="1116">
        <v>43099</v>
      </c>
      <c r="F79" s="1121"/>
      <c r="G79" s="287"/>
      <c r="H79" s="1120">
        <v>1</v>
      </c>
      <c r="I79" s="560">
        <v>0</v>
      </c>
      <c r="J79" s="560">
        <v>0</v>
      </c>
      <c r="K79" s="28"/>
      <c r="L79" s="28"/>
      <c r="M79" s="28"/>
      <c r="N79" s="28"/>
      <c r="O79" s="28"/>
      <c r="P79" s="28"/>
      <c r="Q79" s="28"/>
      <c r="R79" s="28"/>
      <c r="S79" s="28"/>
      <c r="T79" s="28"/>
      <c r="U79" s="28"/>
      <c r="V79" s="28"/>
    </row>
    <row r="80" spans="2:22" s="18" customFormat="1">
      <c r="B80" s="248" t="s">
        <v>115</v>
      </c>
      <c r="C80" s="233"/>
      <c r="D80" s="233"/>
      <c r="E80" s="233"/>
      <c r="F80" s="233"/>
      <c r="G80" s="233"/>
      <c r="H80" s="233"/>
      <c r="I80" s="105"/>
      <c r="J80" s="105"/>
      <c r="K80" s="53"/>
      <c r="L80" s="53"/>
      <c r="M80" s="53"/>
      <c r="N80" s="53"/>
      <c r="O80" s="53"/>
      <c r="P80" s="53"/>
      <c r="Q80" s="53"/>
      <c r="R80" s="53"/>
      <c r="S80" s="53"/>
      <c r="T80" s="53"/>
      <c r="U80" s="53"/>
    </row>
    <row r="81" spans="2:21" s="18" customFormat="1">
      <c r="B81" s="301"/>
      <c r="C81" s="302"/>
      <c r="D81" s="302"/>
      <c r="E81" s="302"/>
      <c r="F81" s="302"/>
      <c r="G81" s="302"/>
      <c r="H81" s="302"/>
      <c r="I81" s="53"/>
      <c r="J81" s="53"/>
      <c r="K81" s="53"/>
      <c r="L81" s="53"/>
      <c r="M81" s="53"/>
      <c r="N81" s="53"/>
      <c r="O81" s="53"/>
      <c r="P81" s="53"/>
      <c r="Q81" s="53"/>
      <c r="R81" s="53"/>
      <c r="S81" s="53"/>
      <c r="T81" s="53"/>
      <c r="U81" s="53"/>
    </row>
    <row r="82" spans="2:21" s="18" customFormat="1">
      <c r="B82" s="53"/>
      <c r="C82" s="302"/>
      <c r="D82" s="302"/>
      <c r="E82" s="302"/>
      <c r="F82" s="302"/>
      <c r="G82" s="302"/>
      <c r="H82" s="302"/>
      <c r="I82" s="53"/>
      <c r="J82" s="53"/>
      <c r="K82" s="53"/>
      <c r="L82" s="53"/>
      <c r="M82" s="53"/>
      <c r="N82" s="53"/>
      <c r="O82" s="53"/>
      <c r="P82" s="53"/>
      <c r="Q82" s="53"/>
      <c r="R82" s="53"/>
      <c r="S82" s="53"/>
      <c r="T82" s="53"/>
      <c r="U82" s="53"/>
    </row>
    <row r="83" spans="2:21" s="18" customFormat="1">
      <c r="B83" s="301" t="s">
        <v>611</v>
      </c>
      <c r="C83" s="302"/>
      <c r="D83" s="302"/>
      <c r="E83" s="302"/>
      <c r="F83" s="302"/>
      <c r="G83" s="302"/>
      <c r="H83" s="302"/>
      <c r="I83" s="53"/>
      <c r="J83" s="53"/>
      <c r="K83" s="53"/>
      <c r="L83" s="53"/>
      <c r="M83" s="53"/>
      <c r="N83" s="53"/>
      <c r="O83" s="53"/>
      <c r="P83" s="53"/>
      <c r="Q83" s="53"/>
      <c r="R83" s="53"/>
      <c r="S83" s="53"/>
      <c r="T83" s="53"/>
      <c r="U83" s="53"/>
    </row>
    <row r="84" spans="2:21" s="18" customFormat="1">
      <c r="K84" s="53"/>
      <c r="L84" s="53"/>
      <c r="M84" s="53"/>
      <c r="N84" s="53"/>
      <c r="O84" s="53"/>
      <c r="P84" s="53"/>
      <c r="Q84" s="53"/>
      <c r="R84" s="53"/>
      <c r="S84" s="53"/>
      <c r="T84" s="53"/>
      <c r="U84" s="53"/>
    </row>
    <row r="85" spans="2:21" s="18" customFormat="1" ht="51" customHeight="1">
      <c r="B85" s="1543" t="s">
        <v>49</v>
      </c>
      <c r="C85" s="1540" t="s">
        <v>489</v>
      </c>
      <c r="D85" s="1541"/>
      <c r="E85" s="1541"/>
      <c r="F85" s="1542"/>
      <c r="G85" s="1540" t="s">
        <v>482</v>
      </c>
      <c r="H85" s="1541"/>
      <c r="I85" s="1542"/>
      <c r="J85" s="1077" t="s">
        <v>483</v>
      </c>
      <c r="K85" s="1077" t="s">
        <v>484</v>
      </c>
      <c r="L85" s="53"/>
      <c r="M85" s="53"/>
      <c r="N85" s="53"/>
      <c r="O85" s="53"/>
      <c r="P85" s="53"/>
      <c r="Q85" s="53"/>
      <c r="R85" s="53"/>
      <c r="S85" s="53"/>
      <c r="T85" s="53"/>
      <c r="U85" s="53"/>
    </row>
    <row r="86" spans="2:21" s="18" customFormat="1" ht="28.5">
      <c r="B86" s="1545"/>
      <c r="C86" s="1078" t="s">
        <v>1230</v>
      </c>
      <c r="D86" s="1078" t="s">
        <v>1028</v>
      </c>
      <c r="E86" s="1078" t="s">
        <v>486</v>
      </c>
      <c r="F86" s="1078" t="s">
        <v>487</v>
      </c>
      <c r="G86" s="1078" t="s">
        <v>485</v>
      </c>
      <c r="H86" s="1078" t="s">
        <v>486</v>
      </c>
      <c r="I86" s="1077" t="s">
        <v>490</v>
      </c>
      <c r="J86" s="1077"/>
      <c r="K86" s="1077"/>
      <c r="L86" s="53"/>
      <c r="M86" s="53"/>
      <c r="N86" s="53"/>
      <c r="O86" s="53"/>
      <c r="P86" s="53"/>
      <c r="Q86" s="53"/>
      <c r="R86" s="53"/>
      <c r="S86" s="53"/>
      <c r="T86" s="53"/>
      <c r="U86" s="53"/>
    </row>
    <row r="87" spans="2:21" s="18" customFormat="1">
      <c r="B87" s="303"/>
      <c r="C87" s="304"/>
      <c r="D87" s="304"/>
      <c r="E87" s="304"/>
      <c r="F87" s="304"/>
      <c r="G87" s="304"/>
      <c r="H87" s="304"/>
      <c r="I87" s="146"/>
      <c r="J87" s="146"/>
      <c r="K87" s="146"/>
      <c r="L87" s="53"/>
      <c r="M87" s="53"/>
      <c r="N87" s="53"/>
      <c r="O87" s="53"/>
      <c r="P87" s="53"/>
      <c r="Q87" s="53"/>
      <c r="R87" s="53"/>
      <c r="S87" s="53"/>
      <c r="T87" s="53"/>
      <c r="U87" s="53"/>
    </row>
    <row r="88" spans="2:21" s="27" customFormat="1">
      <c r="B88" s="248" t="s">
        <v>491</v>
      </c>
      <c r="C88" s="233"/>
      <c r="D88" s="233"/>
      <c r="E88" s="233"/>
      <c r="F88" s="233"/>
      <c r="G88" s="233"/>
      <c r="H88" s="233"/>
      <c r="I88" s="233"/>
      <c r="J88" s="105"/>
      <c r="K88" s="105"/>
      <c r="L88" s="53"/>
      <c r="M88" s="53"/>
      <c r="N88" s="53"/>
      <c r="O88" s="53"/>
      <c r="P88" s="53"/>
      <c r="Q88" s="53"/>
      <c r="R88" s="53"/>
      <c r="S88" s="53"/>
      <c r="T88" s="53"/>
      <c r="U88" s="53"/>
    </row>
    <row r="89" spans="2:21" s="27" customFormat="1">
      <c r="B89" s="105" t="s">
        <v>1286</v>
      </c>
      <c r="C89" s="1116">
        <v>42475</v>
      </c>
      <c r="D89" s="1116">
        <v>42504</v>
      </c>
      <c r="E89" s="1138">
        <v>0.67390630767123294</v>
      </c>
      <c r="F89" s="1116">
        <v>42505</v>
      </c>
      <c r="G89" s="1116">
        <f>F89</f>
        <v>42505</v>
      </c>
      <c r="H89" s="1139">
        <f>E89</f>
        <v>0.67390630767123294</v>
      </c>
      <c r="I89" s="1140">
        <v>2.0999999999999999E-3</v>
      </c>
      <c r="J89" s="105">
        <v>0</v>
      </c>
      <c r="K89" s="1141">
        <v>60.535080000000001</v>
      </c>
      <c r="L89" s="53"/>
      <c r="M89" s="53"/>
      <c r="N89" s="53"/>
      <c r="O89" s="53"/>
      <c r="P89" s="53"/>
      <c r="Q89" s="53"/>
      <c r="R89" s="53"/>
      <c r="S89" s="53"/>
      <c r="T89" s="53"/>
      <c r="U89" s="53"/>
    </row>
    <row r="90" spans="2:21" s="27" customFormat="1">
      <c r="B90" s="105" t="s">
        <v>1286</v>
      </c>
      <c r="C90" s="1116">
        <v>42505</v>
      </c>
      <c r="D90" s="1116">
        <v>42535</v>
      </c>
      <c r="E90" s="1138">
        <v>0.82122557621917813</v>
      </c>
      <c r="F90" s="1116">
        <v>42536</v>
      </c>
      <c r="G90" s="1116">
        <f t="shared" ref="G90:G100" si="5">F90</f>
        <v>42536</v>
      </c>
      <c r="H90" s="1139">
        <f t="shared" ref="H90:H100" si="6">E90</f>
        <v>0.82122557621917813</v>
      </c>
      <c r="I90" s="1140">
        <v>4.1999999999999997E-3</v>
      </c>
      <c r="J90" s="105">
        <v>0</v>
      </c>
      <c r="K90" s="1141">
        <v>60.274259999999998</v>
      </c>
      <c r="L90" s="53"/>
      <c r="M90" s="53"/>
      <c r="N90" s="53"/>
      <c r="O90" s="53"/>
      <c r="P90" s="53"/>
      <c r="Q90" s="53"/>
      <c r="R90" s="53"/>
      <c r="S90" s="53"/>
      <c r="T90" s="53"/>
      <c r="U90" s="53"/>
    </row>
    <row r="91" spans="2:21" s="27" customFormat="1">
      <c r="B91" s="105" t="s">
        <v>1286</v>
      </c>
      <c r="C91" s="1116">
        <v>42536</v>
      </c>
      <c r="D91" s="1116">
        <v>42930</v>
      </c>
      <c r="E91" s="1138">
        <v>0.79635267172602731</v>
      </c>
      <c r="F91" s="1116">
        <v>42566</v>
      </c>
      <c r="G91" s="1116">
        <f t="shared" si="5"/>
        <v>42566</v>
      </c>
      <c r="H91" s="1139">
        <f t="shared" si="6"/>
        <v>0.79635267172602731</v>
      </c>
      <c r="I91" s="1140">
        <v>4.1999999999999997E-3</v>
      </c>
      <c r="J91" s="105">
        <v>0</v>
      </c>
      <c r="K91" s="1141">
        <v>60.013440000000003</v>
      </c>
      <c r="L91" s="53"/>
      <c r="M91" s="53"/>
      <c r="N91" s="53"/>
      <c r="O91" s="53"/>
      <c r="P91" s="53"/>
      <c r="Q91" s="53"/>
      <c r="R91" s="53"/>
      <c r="S91" s="53"/>
      <c r="T91" s="53"/>
      <c r="U91" s="53"/>
    </row>
    <row r="92" spans="2:21" s="27" customFormat="1">
      <c r="B92" s="105" t="s">
        <v>1286</v>
      </c>
      <c r="C92" s="1116">
        <v>42566</v>
      </c>
      <c r="D92" s="1116">
        <v>42596</v>
      </c>
      <c r="E92" s="1138">
        <v>0.79345983254794517</v>
      </c>
      <c r="F92" s="1116">
        <v>42597</v>
      </c>
      <c r="G92" s="1116">
        <f t="shared" si="5"/>
        <v>42597</v>
      </c>
      <c r="H92" s="1139">
        <f t="shared" si="6"/>
        <v>0.79345983254794517</v>
      </c>
      <c r="I92" s="1140">
        <v>4.1999999999999997E-3</v>
      </c>
      <c r="J92" s="105">
        <v>0</v>
      </c>
      <c r="K92" s="1141">
        <v>59.75262</v>
      </c>
      <c r="L92" s="53"/>
      <c r="M92" s="53"/>
      <c r="N92" s="53"/>
      <c r="O92" s="53"/>
      <c r="P92" s="53"/>
      <c r="Q92" s="53"/>
      <c r="R92" s="53"/>
      <c r="S92" s="53"/>
      <c r="T92" s="53"/>
      <c r="U92" s="53"/>
    </row>
    <row r="93" spans="2:21" s="27" customFormat="1">
      <c r="B93" s="105" t="s">
        <v>1286</v>
      </c>
      <c r="C93" s="1116">
        <v>42597</v>
      </c>
      <c r="D93" s="1116">
        <v>42627</v>
      </c>
      <c r="E93" s="1138">
        <v>0.79114496572602733</v>
      </c>
      <c r="F93" s="1116">
        <v>42628</v>
      </c>
      <c r="G93" s="1116">
        <f t="shared" si="5"/>
        <v>42628</v>
      </c>
      <c r="H93" s="1139">
        <f t="shared" si="6"/>
        <v>0.79114496572602733</v>
      </c>
      <c r="I93" s="1140">
        <v>4.1999999999999997E-3</v>
      </c>
      <c r="J93" s="105">
        <v>0</v>
      </c>
      <c r="K93" s="1141">
        <v>59.491799999999998</v>
      </c>
      <c r="L93" s="53"/>
      <c r="M93" s="53"/>
      <c r="N93" s="53"/>
      <c r="O93" s="53"/>
      <c r="P93" s="53"/>
      <c r="Q93" s="53"/>
      <c r="R93" s="53"/>
      <c r="S93" s="53"/>
      <c r="T93" s="53"/>
      <c r="U93" s="53"/>
    </row>
    <row r="94" spans="2:21" s="18" customFormat="1">
      <c r="B94" s="105" t="s">
        <v>1286</v>
      </c>
      <c r="C94" s="1116">
        <v>42628</v>
      </c>
      <c r="D94" s="1116">
        <v>42657</v>
      </c>
      <c r="E94" s="1138">
        <v>0.77179751506849315</v>
      </c>
      <c r="F94" s="1116">
        <v>42658</v>
      </c>
      <c r="G94" s="1116">
        <f t="shared" si="5"/>
        <v>42658</v>
      </c>
      <c r="H94" s="1139">
        <f t="shared" si="6"/>
        <v>0.77179751506849315</v>
      </c>
      <c r="I94" s="1140">
        <v>4.1999999999999997E-3</v>
      </c>
      <c r="J94" s="105">
        <v>0</v>
      </c>
      <c r="K94" s="1141">
        <v>59.230980000000002</v>
      </c>
      <c r="L94" s="53"/>
      <c r="M94" s="53"/>
      <c r="N94" s="53"/>
      <c r="O94" s="53"/>
      <c r="P94" s="53"/>
      <c r="Q94" s="53"/>
      <c r="R94" s="53"/>
      <c r="S94" s="53"/>
      <c r="T94" s="53"/>
      <c r="U94" s="53"/>
    </row>
    <row r="95" spans="2:21" s="18" customFormat="1">
      <c r="B95" s="105" t="s">
        <v>1286</v>
      </c>
      <c r="C95" s="1116">
        <v>42658</v>
      </c>
      <c r="D95" s="1116">
        <v>42688</v>
      </c>
      <c r="E95" s="1138">
        <v>0.78651523208219176</v>
      </c>
      <c r="F95" s="1116">
        <v>42689</v>
      </c>
      <c r="G95" s="1116">
        <f t="shared" si="5"/>
        <v>42689</v>
      </c>
      <c r="H95" s="1139">
        <f t="shared" si="6"/>
        <v>0.78651523208219176</v>
      </c>
      <c r="I95" s="1140">
        <v>4.1999999999999997E-3</v>
      </c>
      <c r="J95" s="105">
        <v>0</v>
      </c>
      <c r="K95" s="1141">
        <v>58.97016</v>
      </c>
      <c r="L95" s="53"/>
      <c r="M95" s="53"/>
      <c r="N95" s="53"/>
      <c r="O95" s="53"/>
      <c r="P95" s="53"/>
      <c r="Q95" s="53"/>
      <c r="R95" s="53"/>
      <c r="S95" s="53"/>
      <c r="T95" s="53"/>
      <c r="U95" s="53"/>
    </row>
    <row r="96" spans="2:21" s="18" customFormat="1">
      <c r="B96" s="105" t="s">
        <v>1286</v>
      </c>
      <c r="C96" s="1116">
        <v>42689</v>
      </c>
      <c r="D96" s="1116">
        <v>42718</v>
      </c>
      <c r="E96" s="1138">
        <v>0.76731712767123283</v>
      </c>
      <c r="F96" s="1116">
        <v>42719</v>
      </c>
      <c r="G96" s="1116">
        <f t="shared" si="5"/>
        <v>42719</v>
      </c>
      <c r="H96" s="1139">
        <f t="shared" si="6"/>
        <v>0.76731712767123283</v>
      </c>
      <c r="I96" s="1140">
        <v>4.1999999999999997E-3</v>
      </c>
      <c r="J96" s="105">
        <v>0</v>
      </c>
      <c r="K96" s="1141">
        <v>58.709339999999997</v>
      </c>
      <c r="L96" s="53"/>
      <c r="M96" s="53"/>
      <c r="N96" s="53"/>
      <c r="O96" s="53"/>
      <c r="P96" s="53"/>
      <c r="Q96" s="53"/>
      <c r="R96" s="53"/>
      <c r="S96" s="53"/>
      <c r="T96" s="53"/>
      <c r="U96" s="53"/>
    </row>
    <row r="97" spans="2:21" s="27" customFormat="1">
      <c r="B97" s="105" t="s">
        <v>1286</v>
      </c>
      <c r="C97" s="1116">
        <v>42719</v>
      </c>
      <c r="D97" s="1116">
        <v>42749</v>
      </c>
      <c r="E97" s="1138">
        <v>0.7818854984383562</v>
      </c>
      <c r="F97" s="1116">
        <v>42750</v>
      </c>
      <c r="G97" s="1116">
        <f t="shared" si="5"/>
        <v>42750</v>
      </c>
      <c r="H97" s="1139">
        <f t="shared" si="6"/>
        <v>0.7818854984383562</v>
      </c>
      <c r="I97" s="1140">
        <v>4.1999999999999997E-3</v>
      </c>
      <c r="J97" s="105">
        <v>0</v>
      </c>
      <c r="K97" s="1141">
        <v>58.448520000000002</v>
      </c>
      <c r="L97" s="53"/>
      <c r="M97" s="53"/>
      <c r="N97" s="53"/>
      <c r="O97" s="53"/>
      <c r="P97" s="53"/>
      <c r="Q97" s="53"/>
      <c r="R97" s="53"/>
      <c r="S97" s="53"/>
      <c r="T97" s="53"/>
      <c r="U97" s="53"/>
    </row>
    <row r="98" spans="2:21" s="27" customFormat="1">
      <c r="B98" s="105" t="s">
        <v>1286</v>
      </c>
      <c r="C98" s="1116">
        <v>42750</v>
      </c>
      <c r="D98" s="1116">
        <v>42780</v>
      </c>
      <c r="E98" s="1138">
        <v>0.77957063161643825</v>
      </c>
      <c r="F98" s="1116">
        <v>42781</v>
      </c>
      <c r="G98" s="1116">
        <f t="shared" si="5"/>
        <v>42781</v>
      </c>
      <c r="H98" s="1139">
        <f t="shared" si="6"/>
        <v>0.77957063161643825</v>
      </c>
      <c r="I98" s="1140">
        <v>4.1999999999999997E-3</v>
      </c>
      <c r="J98" s="105">
        <v>0</v>
      </c>
      <c r="K98" s="1141">
        <v>58.1877</v>
      </c>
      <c r="L98" s="53"/>
      <c r="M98" s="53"/>
      <c r="N98" s="53"/>
      <c r="O98" s="53"/>
      <c r="P98" s="53"/>
      <c r="Q98" s="53"/>
      <c r="R98" s="53"/>
      <c r="S98" s="53"/>
      <c r="T98" s="53"/>
      <c r="U98" s="53"/>
    </row>
    <row r="99" spans="2:21" s="18" customFormat="1">
      <c r="B99" s="105" t="s">
        <v>1286</v>
      </c>
      <c r="C99" s="1116">
        <v>42781</v>
      </c>
      <c r="D99" s="1116">
        <v>42808</v>
      </c>
      <c r="E99" s="1138">
        <v>0.72727811013698629</v>
      </c>
      <c r="F99" s="1116">
        <v>42809</v>
      </c>
      <c r="G99" s="1116">
        <f t="shared" si="5"/>
        <v>42809</v>
      </c>
      <c r="H99" s="1139">
        <f t="shared" si="6"/>
        <v>0.72727811013698629</v>
      </c>
      <c r="I99" s="1140">
        <v>4.1999999999999997E-3</v>
      </c>
      <c r="J99" s="105">
        <v>0</v>
      </c>
      <c r="K99" s="1141">
        <v>57.926879999999997</v>
      </c>
      <c r="L99" s="53"/>
      <c r="M99" s="53"/>
      <c r="N99" s="53"/>
      <c r="O99" s="53"/>
      <c r="P99" s="53"/>
      <c r="Q99" s="53"/>
      <c r="R99" s="53"/>
      <c r="S99" s="53"/>
      <c r="T99" s="53"/>
      <c r="U99" s="53"/>
    </row>
    <row r="100" spans="2:21" s="18" customFormat="1">
      <c r="B100" s="105" t="s">
        <v>1286</v>
      </c>
      <c r="C100" s="1116">
        <v>42809</v>
      </c>
      <c r="D100" s="1116">
        <v>42839</v>
      </c>
      <c r="E100" s="1138">
        <v>0.77494089797260268</v>
      </c>
      <c r="F100" s="1116">
        <v>42840</v>
      </c>
      <c r="G100" s="1116">
        <f t="shared" si="5"/>
        <v>42840</v>
      </c>
      <c r="H100" s="1139">
        <f t="shared" si="6"/>
        <v>0.77494089797260268</v>
      </c>
      <c r="I100" s="1140">
        <v>4.1999999999999997E-3</v>
      </c>
      <c r="J100" s="105">
        <v>0</v>
      </c>
      <c r="K100" s="1141">
        <v>57.666060000000002</v>
      </c>
      <c r="L100" s="53"/>
      <c r="M100" s="53"/>
      <c r="N100" s="53"/>
      <c r="O100" s="53"/>
      <c r="P100" s="53"/>
      <c r="Q100" s="53"/>
      <c r="R100" s="53"/>
      <c r="S100" s="53"/>
      <c r="T100" s="53"/>
      <c r="U100" s="53"/>
    </row>
    <row r="101" spans="2:21" s="18" customFormat="1">
      <c r="B101" s="248" t="s">
        <v>115</v>
      </c>
      <c r="C101" s="233"/>
      <c r="D101" s="233"/>
      <c r="E101" s="1142">
        <f>SUM(E89:E100)</f>
        <v>9.2653943668767109</v>
      </c>
      <c r="F101" s="233"/>
      <c r="G101" s="233"/>
      <c r="H101" s="1142">
        <f>SUM(H89:H100)</f>
        <v>9.2653943668767109</v>
      </c>
      <c r="I101" s="233"/>
      <c r="J101" s="105"/>
      <c r="K101" s="1143"/>
      <c r="L101" s="53"/>
      <c r="M101" s="53"/>
      <c r="N101" s="53"/>
      <c r="O101" s="53"/>
      <c r="P101" s="53"/>
      <c r="Q101" s="53"/>
      <c r="R101" s="53"/>
      <c r="S101" s="53"/>
      <c r="T101" s="53"/>
      <c r="U101" s="53"/>
    </row>
    <row r="102" spans="2:21">
      <c r="B102" s="138"/>
      <c r="C102" s="11"/>
      <c r="D102" s="22"/>
      <c r="E102" s="22"/>
      <c r="F102" s="22"/>
      <c r="G102" s="22"/>
      <c r="H102" s="22"/>
      <c r="I102" s="22"/>
    </row>
  </sheetData>
  <mergeCells count="17">
    <mergeCell ref="B11:B12"/>
    <mergeCell ref="C11:E11"/>
    <mergeCell ref="F11:H11"/>
    <mergeCell ref="I11:I12"/>
    <mergeCell ref="J11:J12"/>
    <mergeCell ref="B40:B41"/>
    <mergeCell ref="C40:F40"/>
    <mergeCell ref="G40:I40"/>
    <mergeCell ref="J40:J41"/>
    <mergeCell ref="B85:B86"/>
    <mergeCell ref="C85:F85"/>
    <mergeCell ref="G85:I85"/>
    <mergeCell ref="B62:B63"/>
    <mergeCell ref="C62:E62"/>
    <mergeCell ref="F62:H62"/>
    <mergeCell ref="I62:I63"/>
    <mergeCell ref="J62:J63"/>
  </mergeCells>
  <pageMargins left="0.74803149606299213" right="0.74803149606299213" top="0.98425196850393704" bottom="0.98425196850393704" header="0.51181102362204722" footer="0.51181102362204722"/>
  <pageSetup paperSize="9" scale="62" fitToHeight="0" orientation="landscape" r:id="rId1"/>
  <headerFooter alignWithMargins="0"/>
  <rowBreaks count="2" manualBreakCount="2">
    <brk id="37" max="10" man="1"/>
    <brk id="81" max="10"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C000"/>
    <pageSetUpPr fitToPage="1"/>
  </sheetPr>
  <dimension ref="B1:J28"/>
  <sheetViews>
    <sheetView showGridLines="0" view="pageBreakPreview" zoomScale="60" zoomScaleNormal="75" workbookViewId="0">
      <selection activeCell="C11" sqref="C11:C12"/>
    </sheetView>
  </sheetViews>
  <sheetFormatPr defaultColWidth="9.140625" defaultRowHeight="15"/>
  <cols>
    <col min="1" max="1" width="6.85546875" style="18" customWidth="1"/>
    <col min="2" max="2" width="6.5703125" style="18" customWidth="1"/>
    <col min="3" max="3" width="29.28515625" style="18" customWidth="1"/>
    <col min="4" max="4" width="19.7109375" style="18" customWidth="1"/>
    <col min="5" max="5" width="16.7109375" style="18" customWidth="1"/>
    <col min="6" max="6" width="24.85546875" style="18" customWidth="1"/>
    <col min="7" max="8" width="20.5703125" style="18" customWidth="1"/>
    <col min="9" max="9" width="25.140625" style="18" customWidth="1"/>
    <col min="10" max="10" width="10.28515625" style="18" bestFit="1" customWidth="1"/>
    <col min="11" max="16384" width="9.140625" style="18"/>
  </cols>
  <sheetData>
    <row r="1" spans="2:10">
      <c r="C1" s="69"/>
    </row>
    <row r="2" spans="2:10" ht="16.149999999999999" customHeight="1">
      <c r="B2" s="182"/>
      <c r="C2" s="100"/>
      <c r="E2" s="375" t="s">
        <v>906</v>
      </c>
      <c r="G2" s="100"/>
      <c r="H2" s="100"/>
      <c r="I2" s="100"/>
      <c r="J2" s="37"/>
    </row>
    <row r="3" spans="2:10" s="155" customFormat="1" ht="16.149999999999999" customHeight="1">
      <c r="B3" s="240"/>
      <c r="C3" s="229"/>
      <c r="E3" s="373" t="s">
        <v>722</v>
      </c>
      <c r="G3" s="229"/>
      <c r="H3" s="229"/>
      <c r="I3" s="229"/>
      <c r="J3" s="39"/>
    </row>
    <row r="4" spans="2:10" s="155" customFormat="1" ht="16.149999999999999" customHeight="1">
      <c r="B4" s="240"/>
      <c r="C4" s="229"/>
      <c r="E4" s="189" t="s">
        <v>519</v>
      </c>
      <c r="G4" s="229"/>
      <c r="H4" s="229"/>
      <c r="I4" s="229"/>
      <c r="J4" s="70"/>
    </row>
    <row r="5" spans="2:10">
      <c r="B5" s="37"/>
      <c r="C5" s="37"/>
      <c r="D5" s="189"/>
      <c r="E5" s="37"/>
      <c r="F5" s="37"/>
      <c r="G5" s="37"/>
      <c r="H5" s="37"/>
      <c r="I5" s="37"/>
      <c r="J5" s="37"/>
    </row>
    <row r="6" spans="2:10">
      <c r="B6" s="71" t="s">
        <v>38</v>
      </c>
    </row>
    <row r="7" spans="2:10">
      <c r="I7" s="26" t="s">
        <v>16</v>
      </c>
    </row>
    <row r="8" spans="2:10" ht="28.5">
      <c r="B8" s="1404" t="s">
        <v>157</v>
      </c>
      <c r="C8" s="1428" t="s">
        <v>400</v>
      </c>
      <c r="D8" s="267" t="s">
        <v>406</v>
      </c>
      <c r="E8" s="267" t="s">
        <v>408</v>
      </c>
      <c r="F8" s="267" t="s">
        <v>412</v>
      </c>
      <c r="G8" s="267" t="s">
        <v>301</v>
      </c>
      <c r="H8" s="267" t="s">
        <v>410</v>
      </c>
      <c r="I8" s="267" t="s">
        <v>411</v>
      </c>
    </row>
    <row r="9" spans="2:10">
      <c r="B9" s="1415"/>
      <c r="C9" s="1429"/>
      <c r="D9" s="267" t="s">
        <v>407</v>
      </c>
      <c r="E9" s="267" t="s">
        <v>407</v>
      </c>
      <c r="F9" s="267" t="s">
        <v>407</v>
      </c>
      <c r="G9" s="267" t="s">
        <v>302</v>
      </c>
      <c r="H9" s="267" t="s">
        <v>409</v>
      </c>
      <c r="I9" s="267" t="s">
        <v>409</v>
      </c>
    </row>
    <row r="10" spans="2:10">
      <c r="B10" s="1405"/>
      <c r="C10" s="1507"/>
      <c r="D10" s="318" t="s">
        <v>72</v>
      </c>
      <c r="E10" s="318" t="s">
        <v>73</v>
      </c>
      <c r="F10" s="318" t="s">
        <v>591</v>
      </c>
      <c r="G10" s="318" t="s">
        <v>419</v>
      </c>
      <c r="H10" s="318" t="s">
        <v>612</v>
      </c>
      <c r="I10" s="318" t="s">
        <v>613</v>
      </c>
    </row>
    <row r="11" spans="2:10" s="27" customFormat="1">
      <c r="B11" s="92">
        <v>1</v>
      </c>
      <c r="C11" s="105" t="s">
        <v>401</v>
      </c>
      <c r="D11" s="1554" t="s">
        <v>1228</v>
      </c>
      <c r="E11" s="1555"/>
      <c r="F11" s="1555"/>
      <c r="G11" s="1555"/>
      <c r="H11" s="1555"/>
      <c r="I11" s="1556"/>
    </row>
    <row r="12" spans="2:10">
      <c r="B12" s="92">
        <f>B11+1</f>
        <v>2</v>
      </c>
      <c r="C12" s="105" t="s">
        <v>402</v>
      </c>
      <c r="D12" s="1557"/>
      <c r="E12" s="1558"/>
      <c r="F12" s="1558"/>
      <c r="G12" s="1558"/>
      <c r="H12" s="1558"/>
      <c r="I12" s="1559"/>
    </row>
    <row r="13" spans="2:10">
      <c r="B13" s="92">
        <f t="shared" ref="B13:B15" si="0">B12+1</f>
        <v>3</v>
      </c>
      <c r="C13" s="105" t="s">
        <v>403</v>
      </c>
      <c r="D13" s="1557"/>
      <c r="E13" s="1558"/>
      <c r="F13" s="1558"/>
      <c r="G13" s="1558"/>
      <c r="H13" s="1558"/>
      <c r="I13" s="1559"/>
    </row>
    <row r="14" spans="2:10">
      <c r="B14" s="92">
        <f t="shared" si="0"/>
        <v>4</v>
      </c>
      <c r="C14" s="106" t="s">
        <v>404</v>
      </c>
      <c r="D14" s="1557"/>
      <c r="E14" s="1558"/>
      <c r="F14" s="1558"/>
      <c r="G14" s="1558"/>
      <c r="H14" s="1558"/>
      <c r="I14" s="1559"/>
    </row>
    <row r="15" spans="2:10" s="27" customFormat="1">
      <c r="B15" s="92">
        <f t="shared" si="0"/>
        <v>5</v>
      </c>
      <c r="C15" s="96" t="s">
        <v>405</v>
      </c>
      <c r="D15" s="1560"/>
      <c r="E15" s="1497"/>
      <c r="F15" s="1497"/>
      <c r="G15" s="1497"/>
      <c r="H15" s="1497"/>
      <c r="I15" s="1561"/>
    </row>
    <row r="17" spans="2:9">
      <c r="B17" s="71" t="s">
        <v>146</v>
      </c>
    </row>
    <row r="18" spans="2:9">
      <c r="I18" s="26" t="s">
        <v>16</v>
      </c>
    </row>
    <row r="19" spans="2:9" ht="28.5">
      <c r="B19" s="1404" t="s">
        <v>157</v>
      </c>
      <c r="C19" s="1428" t="s">
        <v>400</v>
      </c>
      <c r="D19" s="267" t="s">
        <v>406</v>
      </c>
      <c r="E19" s="267" t="s">
        <v>408</v>
      </c>
      <c r="F19" s="267" t="s">
        <v>412</v>
      </c>
      <c r="G19" s="267" t="s">
        <v>301</v>
      </c>
      <c r="H19" s="267" t="s">
        <v>410</v>
      </c>
      <c r="I19" s="267" t="s">
        <v>411</v>
      </c>
    </row>
    <row r="20" spans="2:9">
      <c r="B20" s="1415"/>
      <c r="C20" s="1429"/>
      <c r="D20" s="267" t="s">
        <v>407</v>
      </c>
      <c r="E20" s="267" t="s">
        <v>407</v>
      </c>
      <c r="F20" s="267" t="s">
        <v>407</v>
      </c>
      <c r="G20" s="267" t="s">
        <v>302</v>
      </c>
      <c r="H20" s="267" t="s">
        <v>409</v>
      </c>
      <c r="I20" s="267" t="s">
        <v>409</v>
      </c>
    </row>
    <row r="21" spans="2:9">
      <c r="B21" s="1405"/>
      <c r="C21" s="1507"/>
      <c r="D21" s="318" t="s">
        <v>72</v>
      </c>
      <c r="E21" s="318" t="s">
        <v>73</v>
      </c>
      <c r="F21" s="318" t="s">
        <v>591</v>
      </c>
      <c r="G21" s="318" t="s">
        <v>419</v>
      </c>
      <c r="H21" s="318" t="s">
        <v>612</v>
      </c>
      <c r="I21" s="318" t="s">
        <v>613</v>
      </c>
    </row>
    <row r="22" spans="2:9">
      <c r="B22" s="92">
        <v>1</v>
      </c>
      <c r="C22" s="105" t="s">
        <v>401</v>
      </c>
      <c r="D22" s="1554" t="s">
        <v>1228</v>
      </c>
      <c r="E22" s="1555"/>
      <c r="F22" s="1555"/>
      <c r="G22" s="1555"/>
      <c r="H22" s="1555"/>
      <c r="I22" s="1556"/>
    </row>
    <row r="23" spans="2:9">
      <c r="B23" s="92">
        <f>B22+1</f>
        <v>2</v>
      </c>
      <c r="C23" s="105" t="s">
        <v>402</v>
      </c>
      <c r="D23" s="1557"/>
      <c r="E23" s="1558"/>
      <c r="F23" s="1558"/>
      <c r="G23" s="1558"/>
      <c r="H23" s="1558"/>
      <c r="I23" s="1559"/>
    </row>
    <row r="24" spans="2:9">
      <c r="B24" s="92">
        <f t="shared" ref="B24:B26" si="1">B23+1</f>
        <v>3</v>
      </c>
      <c r="C24" s="105" t="s">
        <v>403</v>
      </c>
      <c r="D24" s="1557"/>
      <c r="E24" s="1558"/>
      <c r="F24" s="1558"/>
      <c r="G24" s="1558"/>
      <c r="H24" s="1558"/>
      <c r="I24" s="1559"/>
    </row>
    <row r="25" spans="2:9">
      <c r="B25" s="92">
        <f t="shared" si="1"/>
        <v>4</v>
      </c>
      <c r="C25" s="106" t="s">
        <v>404</v>
      </c>
      <c r="D25" s="1557"/>
      <c r="E25" s="1558"/>
      <c r="F25" s="1558"/>
      <c r="G25" s="1558"/>
      <c r="H25" s="1558"/>
      <c r="I25" s="1559"/>
    </row>
    <row r="26" spans="2:9">
      <c r="B26" s="92">
        <f t="shared" si="1"/>
        <v>5</v>
      </c>
      <c r="C26" s="96" t="s">
        <v>405</v>
      </c>
      <c r="D26" s="1560"/>
      <c r="E26" s="1497"/>
      <c r="F26" s="1497"/>
      <c r="G26" s="1497"/>
      <c r="H26" s="1497"/>
      <c r="I26" s="1561"/>
    </row>
    <row r="28" spans="2:9">
      <c r="B28" s="18" t="s">
        <v>614</v>
      </c>
    </row>
  </sheetData>
  <mergeCells count="6">
    <mergeCell ref="D22:I26"/>
    <mergeCell ref="B8:B10"/>
    <mergeCell ref="C8:C10"/>
    <mergeCell ref="B19:B21"/>
    <mergeCell ref="C19:C21"/>
    <mergeCell ref="D11:I15"/>
  </mergeCells>
  <pageMargins left="1.1023622047244095" right="0.27559055118110237" top="1.2204724409448819" bottom="0.98425196850393704" header="0.51181102362204722" footer="0.51181102362204722"/>
  <pageSetup paperSize="9" scale="78" orientation="landscape" r:id="rId1"/>
  <headerFooter alignWithMargins="0"/>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C000"/>
    <pageSetUpPr fitToPage="1"/>
  </sheetPr>
  <dimension ref="B1:J128"/>
  <sheetViews>
    <sheetView showGridLines="0" view="pageBreakPreview" topLeftCell="A47" zoomScale="60" zoomScaleNormal="75" workbookViewId="0">
      <selection activeCell="C11" sqref="C11:C12"/>
    </sheetView>
  </sheetViews>
  <sheetFormatPr defaultColWidth="9.140625" defaultRowHeight="15"/>
  <cols>
    <col min="1" max="1" width="6.85546875" style="18" customWidth="1"/>
    <col min="2" max="2" width="6.5703125" style="18" customWidth="1"/>
    <col min="3" max="3" width="50.7109375" style="18" customWidth="1"/>
    <col min="4" max="4" width="10.28515625" style="18" bestFit="1" customWidth="1"/>
    <col min="5" max="5" width="11.7109375" style="18" customWidth="1"/>
    <col min="6" max="6" width="13" style="18" customWidth="1"/>
    <col min="7" max="7" width="14.42578125" style="18" customWidth="1"/>
    <col min="8" max="8" width="17.28515625" style="18" customWidth="1"/>
    <col min="9" max="9" width="18.42578125" style="18" customWidth="1"/>
    <col min="10" max="10" width="22.42578125" style="18" customWidth="1"/>
    <col min="11" max="16384" width="9.140625" style="18"/>
  </cols>
  <sheetData>
    <row r="1" spans="2:10">
      <c r="C1" s="69"/>
    </row>
    <row r="2" spans="2:10">
      <c r="B2" s="182"/>
      <c r="C2" s="100"/>
      <c r="E2" s="183" t="s">
        <v>906</v>
      </c>
      <c r="F2" s="100"/>
      <c r="G2" s="100"/>
      <c r="H2" s="100"/>
      <c r="I2" s="100"/>
      <c r="J2" s="37"/>
    </row>
    <row r="3" spans="2:10" s="7" customFormat="1">
      <c r="B3" s="240"/>
      <c r="C3" s="229"/>
      <c r="E3" s="373" t="s">
        <v>722</v>
      </c>
      <c r="F3" s="229"/>
      <c r="G3" s="229"/>
      <c r="H3" s="229"/>
      <c r="I3" s="229"/>
      <c r="J3" s="39"/>
    </row>
    <row r="4" spans="2:10" s="7" customFormat="1">
      <c r="B4" s="240"/>
      <c r="C4" s="229"/>
      <c r="E4" s="189" t="s">
        <v>518</v>
      </c>
      <c r="F4" s="229"/>
      <c r="G4" s="229"/>
      <c r="H4" s="229"/>
      <c r="I4" s="229"/>
      <c r="J4" s="70"/>
    </row>
    <row r="5" spans="2:10">
      <c r="B5" s="37"/>
      <c r="C5" s="37"/>
      <c r="D5" s="189"/>
      <c r="E5" s="37"/>
      <c r="F5" s="37"/>
      <c r="G5" s="37"/>
      <c r="H5" s="37"/>
      <c r="I5" s="37"/>
      <c r="J5" s="37"/>
    </row>
    <row r="6" spans="2:10">
      <c r="B6" s="71" t="s">
        <v>38</v>
      </c>
    </row>
    <row r="7" spans="2:10">
      <c r="B7" s="71"/>
    </row>
    <row r="8" spans="2:10">
      <c r="B8" s="71"/>
      <c r="C8" s="27" t="s">
        <v>1117</v>
      </c>
    </row>
    <row r="9" spans="2:10">
      <c r="J9" s="26" t="s">
        <v>16</v>
      </c>
    </row>
    <row r="10" spans="2:10" ht="52.9" customHeight="1">
      <c r="B10" s="269" t="s">
        <v>157</v>
      </c>
      <c r="C10" s="250" t="s">
        <v>49</v>
      </c>
      <c r="D10" s="409" t="s">
        <v>413</v>
      </c>
      <c r="E10" s="270" t="s">
        <v>12</v>
      </c>
      <c r="F10" s="270" t="s">
        <v>135</v>
      </c>
      <c r="G10" s="270" t="s">
        <v>136</v>
      </c>
      <c r="H10" s="270" t="s">
        <v>137</v>
      </c>
      <c r="I10" s="270" t="s">
        <v>138</v>
      </c>
      <c r="J10" s="341" t="s">
        <v>640</v>
      </c>
    </row>
    <row r="11" spans="2:10" s="27" customFormat="1">
      <c r="B11" s="92">
        <v>1</v>
      </c>
      <c r="C11" s="105" t="s">
        <v>74</v>
      </c>
      <c r="D11" s="466">
        <f>+'ARR-Summary'!E13</f>
        <v>2.0682266981114754</v>
      </c>
      <c r="E11" s="466">
        <f>+'ARR-Summary'!F13</f>
        <v>3.2069778650000003</v>
      </c>
      <c r="F11" s="466">
        <f>+D11-E11</f>
        <v>-1.1387511668885248</v>
      </c>
      <c r="G11" s="32"/>
      <c r="H11" s="32"/>
      <c r="I11" s="32"/>
      <c r="J11" s="29"/>
    </row>
    <row r="12" spans="2:10">
      <c r="B12" s="92">
        <f>B11+1</f>
        <v>2</v>
      </c>
      <c r="C12" s="106" t="s">
        <v>153</v>
      </c>
      <c r="D12" s="466">
        <f>+'ARR-Summary'!E14</f>
        <v>2.1</v>
      </c>
      <c r="E12" s="466">
        <f>+'ARR-Summary'!F14</f>
        <v>2.2827208278849724</v>
      </c>
      <c r="F12" s="466">
        <f t="shared" ref="F12:F29" si="0">+D12-E12</f>
        <v>-0.18272082788497235</v>
      </c>
      <c r="G12" s="29"/>
      <c r="H12" s="29"/>
      <c r="I12" s="29"/>
      <c r="J12" s="29"/>
    </row>
    <row r="13" spans="2:10">
      <c r="B13" s="92">
        <f t="shared" ref="B13:B23" si="1">B12+1</f>
        <v>3</v>
      </c>
      <c r="C13" s="105" t="s">
        <v>152</v>
      </c>
      <c r="D13" s="466">
        <f>+'ARR-Summary'!E15</f>
        <v>3.2986056420765029</v>
      </c>
      <c r="E13" s="466">
        <f>+'ARR-Summary'!F15</f>
        <v>3.8338808780770033</v>
      </c>
      <c r="F13" s="466">
        <f t="shared" si="0"/>
        <v>-0.53527523600050042</v>
      </c>
      <c r="G13" s="29"/>
      <c r="H13" s="29"/>
      <c r="I13" s="29"/>
      <c r="J13" s="29"/>
    </row>
    <row r="14" spans="2:10">
      <c r="B14" s="92">
        <f t="shared" si="1"/>
        <v>4</v>
      </c>
      <c r="C14" s="106" t="s">
        <v>75</v>
      </c>
      <c r="D14" s="560">
        <f>+'ARR-Summary'!E16</f>
        <v>4.3000000000000003E-2</v>
      </c>
      <c r="E14" s="560">
        <f>+'ARR-Summary'!F16</f>
        <v>4.9361450606669605E-2</v>
      </c>
      <c r="F14" s="560">
        <f t="shared" si="0"/>
        <v>-6.3614506066696011E-3</v>
      </c>
      <c r="G14" s="29"/>
      <c r="H14" s="29"/>
      <c r="I14" s="29"/>
      <c r="J14" s="29"/>
    </row>
    <row r="15" spans="2:10" ht="30">
      <c r="B15" s="92">
        <f t="shared" si="1"/>
        <v>5</v>
      </c>
      <c r="C15" s="106" t="s">
        <v>259</v>
      </c>
      <c r="D15" s="560">
        <f>+'ARR-Summary'!E17</f>
        <v>2.9353760499999999E-2</v>
      </c>
      <c r="E15" s="560">
        <f>+'ARR-Summary'!F17</f>
        <v>3.1788990000000003E-2</v>
      </c>
      <c r="F15" s="560">
        <f t="shared" si="0"/>
        <v>-2.4352295000000038E-3</v>
      </c>
      <c r="G15" s="29"/>
      <c r="H15" s="29"/>
      <c r="I15" s="29"/>
      <c r="J15" s="29"/>
    </row>
    <row r="16" spans="2:10">
      <c r="B16" s="92">
        <f t="shared" si="1"/>
        <v>6</v>
      </c>
      <c r="C16" s="106" t="s">
        <v>227</v>
      </c>
      <c r="D16" s="560">
        <f>+'ARR-Summary'!E18</f>
        <v>0</v>
      </c>
      <c r="E16" s="560">
        <f>+'ARR-Summary'!F18</f>
        <v>0</v>
      </c>
      <c r="F16" s="560">
        <f t="shared" si="0"/>
        <v>0</v>
      </c>
      <c r="G16" s="29"/>
      <c r="H16" s="29"/>
      <c r="I16" s="29"/>
      <c r="J16" s="29"/>
    </row>
    <row r="17" spans="2:10">
      <c r="B17" s="92">
        <f t="shared" si="1"/>
        <v>7</v>
      </c>
      <c r="C17" s="106" t="s">
        <v>228</v>
      </c>
      <c r="D17" s="560">
        <f>+'ARR-Summary'!E19</f>
        <v>0.2165</v>
      </c>
      <c r="E17" s="560">
        <f>+'ARR-Summary'!F19</f>
        <v>0.21650000000000003</v>
      </c>
      <c r="F17" s="560">
        <f t="shared" si="0"/>
        <v>0</v>
      </c>
      <c r="G17" s="29"/>
      <c r="H17" s="29"/>
      <c r="I17" s="29"/>
      <c r="J17" s="29"/>
    </row>
    <row r="18" spans="2:10">
      <c r="B18" s="92">
        <f t="shared" si="1"/>
        <v>8</v>
      </c>
      <c r="C18" s="105" t="s">
        <v>76</v>
      </c>
      <c r="D18" s="560">
        <f>+'ARR-Summary'!E20</f>
        <v>0.45</v>
      </c>
      <c r="E18" s="560">
        <f ca="1">+'ARR-Summary'!F20</f>
        <v>2.0026546470789288</v>
      </c>
      <c r="F18" s="560">
        <f t="shared" ca="1" si="0"/>
        <v>-1.5526546470789289</v>
      </c>
      <c r="G18" s="29"/>
      <c r="H18" s="29"/>
      <c r="I18" s="29"/>
      <c r="J18" s="29"/>
    </row>
    <row r="19" spans="2:10" s="27" customFormat="1" ht="14.25">
      <c r="B19" s="93">
        <f t="shared" si="1"/>
        <v>9</v>
      </c>
      <c r="C19" s="248" t="s">
        <v>77</v>
      </c>
      <c r="D19" s="559">
        <f>SUM(D11:D18)</f>
        <v>8.2056861006879771</v>
      </c>
      <c r="E19" s="559">
        <f ca="1">SUM(E11:E18)</f>
        <v>11.623884658647576</v>
      </c>
      <c r="F19" s="845">
        <f t="shared" ca="1" si="0"/>
        <v>-3.4181985579595988</v>
      </c>
      <c r="G19" s="32"/>
      <c r="H19" s="32"/>
      <c r="I19" s="32"/>
      <c r="J19" s="32"/>
    </row>
    <row r="20" spans="2:10" s="27" customFormat="1">
      <c r="B20" s="92">
        <f t="shared" si="1"/>
        <v>10</v>
      </c>
      <c r="C20" s="105" t="s">
        <v>78</v>
      </c>
      <c r="D20" s="560">
        <f>+'ARR-Summary'!E22</f>
        <v>2.0333446311475409</v>
      </c>
      <c r="E20" s="560">
        <f>+'ARR-Summary'!F22</f>
        <v>2.1420151350860257</v>
      </c>
      <c r="F20" s="560">
        <f t="shared" si="0"/>
        <v>-0.10867050393848476</v>
      </c>
      <c r="G20" s="32"/>
      <c r="H20" s="32"/>
      <c r="I20" s="32"/>
      <c r="J20" s="29"/>
    </row>
    <row r="21" spans="2:10" s="27" customFormat="1" ht="14.25">
      <c r="B21" s="93">
        <f t="shared" si="1"/>
        <v>11</v>
      </c>
      <c r="C21" s="248" t="s">
        <v>80</v>
      </c>
      <c r="D21" s="845">
        <f>+D19+D20</f>
        <v>10.239030731835518</v>
      </c>
      <c r="E21" s="845">
        <f ca="1">+E19+E20</f>
        <v>13.765899793733603</v>
      </c>
      <c r="F21" s="845">
        <f t="shared" ca="1" si="0"/>
        <v>-3.5268690618980845</v>
      </c>
      <c r="G21" s="32"/>
      <c r="H21" s="32"/>
      <c r="I21" s="32"/>
      <c r="J21" s="32"/>
    </row>
    <row r="22" spans="2:10" s="27" customFormat="1">
      <c r="B22" s="92">
        <f t="shared" si="1"/>
        <v>12</v>
      </c>
      <c r="C22" s="105" t="s">
        <v>79</v>
      </c>
      <c r="D22" s="560">
        <f>+'ARR-Summary'!E24</f>
        <v>0</v>
      </c>
      <c r="E22" s="560">
        <f>+'ARR-Summary'!F24</f>
        <v>0</v>
      </c>
      <c r="F22" s="560">
        <f t="shared" si="0"/>
        <v>0</v>
      </c>
      <c r="G22" s="32"/>
      <c r="H22" s="32"/>
      <c r="I22" s="32"/>
      <c r="J22" s="29"/>
    </row>
    <row r="23" spans="2:10" s="27" customFormat="1">
      <c r="B23" s="92">
        <f t="shared" si="1"/>
        <v>13</v>
      </c>
      <c r="C23" s="105" t="s">
        <v>232</v>
      </c>
      <c r="D23" s="560">
        <f>+'ARR-Summary'!E25</f>
        <v>0</v>
      </c>
      <c r="E23" s="560">
        <f>+'ARR-Summary'!F25</f>
        <v>0</v>
      </c>
      <c r="F23" s="560">
        <f t="shared" si="0"/>
        <v>0</v>
      </c>
      <c r="G23" s="32"/>
      <c r="H23" s="32"/>
      <c r="I23" s="32"/>
      <c r="J23" s="29"/>
    </row>
    <row r="24" spans="2:10" s="27" customFormat="1">
      <c r="B24" s="103" t="s">
        <v>82</v>
      </c>
      <c r="C24" s="248" t="s">
        <v>261</v>
      </c>
      <c r="D24" s="1087">
        <f>+D21-D22-D23</f>
        <v>10.239030731835518</v>
      </c>
      <c r="E24" s="1087">
        <f ca="1">+E21-E22-E23</f>
        <v>13.765899793733603</v>
      </c>
      <c r="F24" s="845">
        <f t="shared" ca="1" si="0"/>
        <v>-3.5268690618980845</v>
      </c>
      <c r="G24" s="32"/>
      <c r="H24" s="32"/>
      <c r="I24" s="32"/>
      <c r="J24" s="29"/>
    </row>
    <row r="25" spans="2:10" s="27" customFormat="1">
      <c r="B25" s="103"/>
      <c r="C25" s="248"/>
      <c r="D25" s="248"/>
      <c r="E25" s="248"/>
      <c r="F25" s="560">
        <f t="shared" si="0"/>
        <v>0</v>
      </c>
      <c r="G25" s="32"/>
      <c r="H25" s="32"/>
      <c r="I25" s="32"/>
      <c r="J25" s="29"/>
    </row>
    <row r="26" spans="2:10" s="27" customFormat="1">
      <c r="B26" s="103" t="s">
        <v>89</v>
      </c>
      <c r="C26" s="248" t="s">
        <v>139</v>
      </c>
      <c r="D26" s="248"/>
      <c r="E26" s="248"/>
      <c r="F26" s="560">
        <f t="shared" si="0"/>
        <v>0</v>
      </c>
      <c r="G26" s="32"/>
      <c r="H26" s="32"/>
      <c r="I26" s="32"/>
      <c r="J26" s="29"/>
    </row>
    <row r="27" spans="2:10">
      <c r="B27" s="95">
        <v>14</v>
      </c>
      <c r="C27" s="106" t="s">
        <v>1093</v>
      </c>
      <c r="D27" s="331">
        <v>0</v>
      </c>
      <c r="E27" s="105"/>
      <c r="F27" s="560">
        <f t="shared" si="0"/>
        <v>0</v>
      </c>
      <c r="G27" s="29"/>
      <c r="H27" s="29"/>
      <c r="I27" s="29"/>
      <c r="J27" s="29"/>
    </row>
    <row r="28" spans="2:10">
      <c r="B28" s="95"/>
      <c r="C28" s="106"/>
      <c r="D28" s="105"/>
      <c r="E28" s="105"/>
      <c r="F28" s="560">
        <f t="shared" si="0"/>
        <v>0</v>
      </c>
      <c r="G28" s="29"/>
      <c r="H28" s="29"/>
      <c r="I28" s="29"/>
      <c r="J28" s="29"/>
    </row>
    <row r="29" spans="2:10" s="27" customFormat="1">
      <c r="B29" s="103" t="s">
        <v>90</v>
      </c>
      <c r="C29" s="288" t="s">
        <v>144</v>
      </c>
      <c r="D29" s="1087">
        <f>+D24-D27</f>
        <v>10.239030731835518</v>
      </c>
      <c r="E29" s="1087">
        <f ca="1">+E24-E27</f>
        <v>13.765899793733603</v>
      </c>
      <c r="F29" s="845">
        <f t="shared" ca="1" si="0"/>
        <v>-3.5268690618980845</v>
      </c>
      <c r="G29" s="32"/>
      <c r="H29" s="32"/>
      <c r="I29" s="32"/>
      <c r="J29" s="29"/>
    </row>
    <row r="31" spans="2:10">
      <c r="B31" s="107" t="s">
        <v>141</v>
      </c>
    </row>
    <row r="32" spans="2:10">
      <c r="B32" s="107"/>
      <c r="C32" s="18" t="s">
        <v>747</v>
      </c>
    </row>
    <row r="35" spans="2:10">
      <c r="C35" s="27" t="s">
        <v>258</v>
      </c>
      <c r="D35" s="72"/>
      <c r="E35" s="72"/>
      <c r="F35" s="72"/>
      <c r="G35" s="72"/>
      <c r="H35" s="72"/>
      <c r="I35" s="72"/>
    </row>
    <row r="36" spans="2:10">
      <c r="C36" s="107"/>
      <c r="D36" s="72"/>
      <c r="E36" s="72"/>
      <c r="F36" s="72"/>
      <c r="G36" s="72"/>
      <c r="H36" s="72"/>
      <c r="I36" s="72"/>
      <c r="J36" s="26" t="s">
        <v>16</v>
      </c>
    </row>
    <row r="37" spans="2:10" ht="46.9" customHeight="1">
      <c r="B37" s="269" t="s">
        <v>157</v>
      </c>
      <c r="C37" s="250" t="s">
        <v>49</v>
      </c>
      <c r="D37" s="409" t="s">
        <v>413</v>
      </c>
      <c r="E37" s="187" t="s">
        <v>12</v>
      </c>
      <c r="F37" s="187" t="s">
        <v>135</v>
      </c>
      <c r="G37" s="187" t="s">
        <v>136</v>
      </c>
      <c r="H37" s="187" t="s">
        <v>137</v>
      </c>
      <c r="I37" s="187" t="s">
        <v>138</v>
      </c>
      <c r="J37" s="341" t="s">
        <v>640</v>
      </c>
    </row>
    <row r="38" spans="2:10" ht="30">
      <c r="B38" s="92">
        <v>1</v>
      </c>
      <c r="C38" s="235" t="s">
        <v>262</v>
      </c>
      <c r="D38" s="680">
        <f>+'ARR-Summary'!E38</f>
        <v>34.49</v>
      </c>
      <c r="E38" s="680">
        <f>+'ARR-Summary'!F38</f>
        <v>35.425104900000001</v>
      </c>
      <c r="F38" s="466">
        <f>+D38-E38</f>
        <v>-0.93510489999999891</v>
      </c>
      <c r="G38" s="29"/>
      <c r="H38" s="29"/>
      <c r="I38" s="29"/>
      <c r="J38" s="29"/>
    </row>
    <row r="39" spans="2:10">
      <c r="B39" s="92">
        <f>B38+1</f>
        <v>2</v>
      </c>
      <c r="C39" s="284" t="s">
        <v>74</v>
      </c>
      <c r="D39" s="680">
        <f>+'ARR-Summary'!E39</f>
        <v>1.0060714393019432</v>
      </c>
      <c r="E39" s="680">
        <f>+'ARR-Summary'!F39</f>
        <v>1.7268342350000001</v>
      </c>
      <c r="F39" s="466">
        <f t="shared" ref="F39:F56" si="2">+D39-E39</f>
        <v>-0.7207627956980569</v>
      </c>
      <c r="G39" s="32"/>
      <c r="H39" s="32"/>
      <c r="I39" s="32"/>
      <c r="J39" s="29"/>
    </row>
    <row r="40" spans="2:10">
      <c r="B40" s="92">
        <f t="shared" ref="B40:B55" si="3">B39+1</f>
        <v>3</v>
      </c>
      <c r="C40" s="106" t="s">
        <v>153</v>
      </c>
      <c r="D40" s="680">
        <f>+'ARR-Summary'!E40</f>
        <v>0.08</v>
      </c>
      <c r="E40" s="680">
        <f>+'ARR-Summary'!F40</f>
        <v>8.1559907855027869E-2</v>
      </c>
      <c r="F40" s="466">
        <f t="shared" si="2"/>
        <v>-1.5599078550278672E-3</v>
      </c>
      <c r="G40" s="29"/>
      <c r="H40" s="29"/>
      <c r="I40" s="29"/>
      <c r="J40" s="29"/>
    </row>
    <row r="41" spans="2:10">
      <c r="B41" s="92">
        <f t="shared" si="3"/>
        <v>4</v>
      </c>
      <c r="C41" s="284" t="s">
        <v>152</v>
      </c>
      <c r="D41" s="680">
        <f>+'ARR-Summary'!E41</f>
        <v>0.11986006284153004</v>
      </c>
      <c r="E41" s="680">
        <f>+'ARR-Summary'!F41</f>
        <v>0.11346033119493144</v>
      </c>
      <c r="F41" s="466">
        <f t="shared" si="2"/>
        <v>6.3997316465985998E-3</v>
      </c>
      <c r="G41" s="29"/>
      <c r="H41" s="29"/>
      <c r="I41" s="29"/>
      <c r="J41" s="29"/>
    </row>
    <row r="42" spans="2:10">
      <c r="B42" s="92">
        <f t="shared" si="3"/>
        <v>5</v>
      </c>
      <c r="C42" s="106" t="s">
        <v>75</v>
      </c>
      <c r="D42" s="680">
        <f>+'ARR-Summary'!E42</f>
        <v>0.38700000000000001</v>
      </c>
      <c r="E42" s="680">
        <f>+'ARR-Summary'!F42</f>
        <v>0.45061450606669601</v>
      </c>
      <c r="F42" s="466">
        <f t="shared" si="2"/>
        <v>-6.3614506066695997E-2</v>
      </c>
      <c r="G42" s="29"/>
      <c r="H42" s="29"/>
      <c r="I42" s="29"/>
      <c r="J42" s="29"/>
    </row>
    <row r="43" spans="2:10">
      <c r="B43" s="92">
        <f t="shared" si="3"/>
        <v>6</v>
      </c>
      <c r="C43" s="106" t="s">
        <v>263</v>
      </c>
      <c r="D43" s="550">
        <f>+'ARR-Summary'!E43</f>
        <v>0.26418384449999999</v>
      </c>
      <c r="E43" s="550">
        <f>+'ARR-Summary'!F43</f>
        <v>0.28610090999999999</v>
      </c>
      <c r="F43" s="560">
        <f t="shared" si="2"/>
        <v>-2.1917065499999999E-2</v>
      </c>
      <c r="G43" s="29"/>
      <c r="H43" s="29"/>
      <c r="I43" s="29"/>
      <c r="J43" s="29"/>
    </row>
    <row r="44" spans="2:10">
      <c r="B44" s="92">
        <f t="shared" si="3"/>
        <v>7</v>
      </c>
      <c r="C44" s="106" t="s">
        <v>227</v>
      </c>
      <c r="D44" s="550">
        <f>+'ARR-Summary'!E44</f>
        <v>0</v>
      </c>
      <c r="E44" s="550">
        <f>+'ARR-Summary'!F44</f>
        <v>0</v>
      </c>
      <c r="F44" s="560">
        <f t="shared" si="2"/>
        <v>0</v>
      </c>
      <c r="G44" s="29"/>
      <c r="H44" s="29"/>
      <c r="I44" s="29"/>
      <c r="J44" s="29"/>
    </row>
    <row r="45" spans="2:10">
      <c r="B45" s="92">
        <f t="shared" si="3"/>
        <v>8</v>
      </c>
      <c r="C45" s="106" t="s">
        <v>228</v>
      </c>
      <c r="D45" s="550">
        <f>+'ARR-Summary'!E45</f>
        <v>7.0999999999999995E-3</v>
      </c>
      <c r="E45" s="550">
        <f>+'ARR-Summary'!F45</f>
        <v>7.0999999999999995E-3</v>
      </c>
      <c r="F45" s="560">
        <f t="shared" si="2"/>
        <v>0</v>
      </c>
      <c r="G45" s="29"/>
      <c r="H45" s="29"/>
      <c r="I45" s="29"/>
      <c r="J45" s="29"/>
    </row>
    <row r="46" spans="2:10">
      <c r="B46" s="92">
        <f t="shared" si="3"/>
        <v>9</v>
      </c>
      <c r="C46" s="106" t="s">
        <v>230</v>
      </c>
      <c r="D46" s="550">
        <f>+'ARR-Summary'!E46</f>
        <v>0</v>
      </c>
      <c r="E46" s="550">
        <f>+'ARR-Summary'!F46</f>
        <v>0</v>
      </c>
      <c r="F46" s="560">
        <f t="shared" si="2"/>
        <v>0</v>
      </c>
      <c r="G46" s="29"/>
      <c r="H46" s="29"/>
      <c r="I46" s="29"/>
      <c r="J46" s="29"/>
    </row>
    <row r="47" spans="2:10">
      <c r="B47" s="92">
        <f t="shared" si="3"/>
        <v>10</v>
      </c>
      <c r="C47" s="106" t="s">
        <v>231</v>
      </c>
      <c r="D47" s="550">
        <f>+'ARR-Summary'!E47</f>
        <v>0</v>
      </c>
      <c r="E47" s="550">
        <f>+'ARR-Summary'!F47</f>
        <v>0</v>
      </c>
      <c r="F47" s="560">
        <f t="shared" si="2"/>
        <v>0</v>
      </c>
      <c r="G47" s="29"/>
      <c r="H47" s="29"/>
      <c r="I47" s="29"/>
      <c r="J47" s="29"/>
    </row>
    <row r="48" spans="2:10">
      <c r="B48" s="92">
        <f t="shared" si="3"/>
        <v>11</v>
      </c>
      <c r="C48" s="284" t="s">
        <v>76</v>
      </c>
      <c r="D48" s="550">
        <f>+'ARR-Summary'!E48</f>
        <v>4.9999999999999989E-2</v>
      </c>
      <c r="E48" s="550">
        <f ca="1">+'ARR-Summary'!F48</f>
        <v>0.22251718300876977</v>
      </c>
      <c r="F48" s="560">
        <f t="shared" ca="1" si="2"/>
        <v>-0.17251718300876978</v>
      </c>
      <c r="G48" s="32"/>
      <c r="H48" s="32"/>
      <c r="I48" s="32"/>
      <c r="J48" s="29"/>
    </row>
    <row r="49" spans="2:10" s="27" customFormat="1" ht="14.25">
      <c r="B49" s="93">
        <f t="shared" si="3"/>
        <v>12</v>
      </c>
      <c r="C49" s="162" t="s">
        <v>77</v>
      </c>
      <c r="D49" s="551">
        <f>SUM(D38:D48)</f>
        <v>36.404215346643475</v>
      </c>
      <c r="E49" s="551">
        <f ca="1">SUM(E38:E48)</f>
        <v>38.31329197312543</v>
      </c>
      <c r="F49" s="845">
        <f t="shared" ca="1" si="2"/>
        <v>-1.909076626481955</v>
      </c>
      <c r="G49" s="32"/>
      <c r="H49" s="32"/>
      <c r="I49" s="32"/>
      <c r="J49" s="32"/>
    </row>
    <row r="50" spans="2:10">
      <c r="B50" s="92">
        <f t="shared" si="3"/>
        <v>13</v>
      </c>
      <c r="C50" s="284" t="s">
        <v>78</v>
      </c>
      <c r="D50" s="550">
        <f>+'ARR-Summary'!E50</f>
        <v>8.3961270491803269E-2</v>
      </c>
      <c r="E50" s="550">
        <f>+'ARR-Summary'!F50</f>
        <v>9.8749341887851699E-2</v>
      </c>
      <c r="F50" s="560">
        <f t="shared" si="2"/>
        <v>-1.478807139604843E-2</v>
      </c>
      <c r="G50" s="32"/>
      <c r="H50" s="32"/>
      <c r="I50" s="32"/>
      <c r="J50" s="29"/>
    </row>
    <row r="51" spans="2:10" s="27" customFormat="1" ht="14.25">
      <c r="B51" s="93">
        <f t="shared" si="3"/>
        <v>14</v>
      </c>
      <c r="C51" s="162" t="s">
        <v>80</v>
      </c>
      <c r="D51" s="551">
        <f>+D49+D50</f>
        <v>36.488176617135281</v>
      </c>
      <c r="E51" s="551">
        <f ca="1">+E49+E50</f>
        <v>38.412041315013283</v>
      </c>
      <c r="F51" s="845">
        <f t="shared" ca="1" si="2"/>
        <v>-1.9238646978780025</v>
      </c>
      <c r="G51" s="32"/>
      <c r="H51" s="32"/>
      <c r="I51" s="32"/>
      <c r="J51" s="32"/>
    </row>
    <row r="52" spans="2:10">
      <c r="B52" s="92">
        <f t="shared" si="3"/>
        <v>15</v>
      </c>
      <c r="C52" s="284" t="s">
        <v>79</v>
      </c>
      <c r="D52" s="550">
        <f>+'ARR-Summary'!E52</f>
        <v>0.02</v>
      </c>
      <c r="E52" s="550">
        <f>+'ARR-Summary'!F52</f>
        <v>0.29620999999999997</v>
      </c>
      <c r="F52" s="560">
        <f t="shared" si="2"/>
        <v>-0.27620999999999996</v>
      </c>
      <c r="G52" s="32"/>
      <c r="H52" s="32"/>
      <c r="I52" s="32"/>
      <c r="J52" s="29"/>
    </row>
    <row r="53" spans="2:10">
      <c r="B53" s="92">
        <f t="shared" si="3"/>
        <v>16</v>
      </c>
      <c r="C53" s="284" t="s">
        <v>232</v>
      </c>
      <c r="D53" s="550">
        <f>+'ARR-Summary'!E53</f>
        <v>0</v>
      </c>
      <c r="E53" s="550">
        <f>+'ARR-Summary'!F53</f>
        <v>0</v>
      </c>
      <c r="F53" s="560">
        <f t="shared" si="2"/>
        <v>0</v>
      </c>
      <c r="G53" s="32"/>
      <c r="H53" s="32"/>
      <c r="I53" s="32"/>
      <c r="J53" s="29"/>
    </row>
    <row r="54" spans="2:10">
      <c r="B54" s="92">
        <f t="shared" si="3"/>
        <v>17</v>
      </c>
      <c r="C54" s="284" t="s">
        <v>233</v>
      </c>
      <c r="D54" s="550">
        <f>+'ARR-Summary'!E54</f>
        <v>0</v>
      </c>
      <c r="E54" s="550">
        <f>+'ARR-Summary'!F54</f>
        <v>0</v>
      </c>
      <c r="F54" s="560">
        <f t="shared" si="2"/>
        <v>0</v>
      </c>
      <c r="G54" s="32"/>
      <c r="H54" s="32"/>
      <c r="I54" s="32"/>
      <c r="J54" s="29"/>
    </row>
    <row r="55" spans="2:10" ht="30">
      <c r="B55" s="92">
        <f t="shared" si="3"/>
        <v>18</v>
      </c>
      <c r="C55" s="284" t="s">
        <v>264</v>
      </c>
      <c r="D55" s="550">
        <f>+'ARR-Summary'!E55</f>
        <v>0</v>
      </c>
      <c r="E55" s="550">
        <f>+'ARR-Summary'!F55</f>
        <v>0</v>
      </c>
      <c r="F55" s="560">
        <f t="shared" si="2"/>
        <v>0</v>
      </c>
      <c r="G55" s="29"/>
      <c r="H55" s="29"/>
      <c r="I55" s="29"/>
      <c r="J55" s="29"/>
    </row>
    <row r="56" spans="2:10" s="27" customFormat="1" ht="28.5">
      <c r="B56" s="93" t="s">
        <v>82</v>
      </c>
      <c r="C56" s="162" t="s">
        <v>260</v>
      </c>
      <c r="D56" s="551">
        <f>+D51-SUM(D52:D55)</f>
        <v>36.468176617135278</v>
      </c>
      <c r="E56" s="551">
        <f ca="1">+E51-SUM(E52:E55)</f>
        <v>38.115831315013281</v>
      </c>
      <c r="F56" s="845">
        <f t="shared" ca="1" si="2"/>
        <v>-1.6476546978780036</v>
      </c>
      <c r="G56" s="32"/>
      <c r="H56" s="32"/>
      <c r="I56" s="32"/>
      <c r="J56" s="32"/>
    </row>
    <row r="57" spans="2:10">
      <c r="B57" s="29"/>
      <c r="C57" s="105"/>
      <c r="D57" s="105"/>
      <c r="E57" s="105"/>
      <c r="F57" s="105"/>
      <c r="G57" s="29"/>
      <c r="H57" s="29"/>
      <c r="I57" s="29"/>
      <c r="J57" s="29"/>
    </row>
    <row r="58" spans="2:10" s="27" customFormat="1">
      <c r="B58" s="103" t="s">
        <v>89</v>
      </c>
      <c r="C58" s="248" t="s">
        <v>139</v>
      </c>
      <c r="D58" s="248"/>
      <c r="E58" s="248"/>
      <c r="F58" s="248"/>
      <c r="G58" s="32"/>
      <c r="H58" s="32"/>
      <c r="I58" s="32"/>
      <c r="J58" s="29"/>
    </row>
    <row r="59" spans="2:10">
      <c r="B59" s="95">
        <v>19</v>
      </c>
      <c r="C59" s="106" t="s">
        <v>140</v>
      </c>
      <c r="D59" s="1088">
        <v>58.8</v>
      </c>
      <c r="E59" s="551">
        <f>+'F13'!M22</f>
        <v>58.171096834999993</v>
      </c>
      <c r="F59" s="845">
        <f>+D59-E59</f>
        <v>0.62890316500000409</v>
      </c>
      <c r="G59" s="29"/>
      <c r="H59" s="29"/>
      <c r="I59" s="29"/>
      <c r="J59" s="29"/>
    </row>
    <row r="60" spans="2:10">
      <c r="B60" s="95"/>
      <c r="C60" s="106"/>
      <c r="D60" s="105"/>
      <c r="E60" s="105"/>
      <c r="F60" s="105"/>
      <c r="G60" s="29"/>
      <c r="H60" s="29"/>
      <c r="I60" s="29"/>
      <c r="J60" s="29"/>
    </row>
    <row r="61" spans="2:10" s="27" customFormat="1">
      <c r="B61" s="103" t="s">
        <v>90</v>
      </c>
      <c r="C61" s="288" t="s">
        <v>144</v>
      </c>
      <c r="D61" s="845">
        <f>+D56+D24-D59</f>
        <v>-12.0927926510292</v>
      </c>
      <c r="E61" s="845">
        <f ca="1">+E56+E24-E59</f>
        <v>-6.2893657262531093</v>
      </c>
      <c r="F61" s="845">
        <f ca="1">+D61-E61</f>
        <v>-5.8034269247760903</v>
      </c>
      <c r="G61" s="32"/>
      <c r="H61" s="32"/>
      <c r="I61" s="32"/>
      <c r="J61" s="29"/>
    </row>
    <row r="63" spans="2:10">
      <c r="B63" s="107" t="s">
        <v>141</v>
      </c>
    </row>
    <row r="64" spans="2:10">
      <c r="C64" s="18" t="s">
        <v>747</v>
      </c>
    </row>
    <row r="66" spans="2:10">
      <c r="B66" s="37"/>
      <c r="C66" s="37"/>
      <c r="D66" s="189"/>
      <c r="E66" s="37"/>
      <c r="F66" s="37"/>
      <c r="G66" s="37"/>
      <c r="H66" s="37"/>
      <c r="I66" s="37"/>
      <c r="J66" s="37"/>
    </row>
    <row r="67" spans="2:10">
      <c r="B67" s="71" t="s">
        <v>146</v>
      </c>
    </row>
    <row r="68" spans="2:10">
      <c r="B68" s="71"/>
    </row>
    <row r="69" spans="2:10">
      <c r="B69" s="71"/>
      <c r="C69" s="27" t="s">
        <v>325</v>
      </c>
    </row>
    <row r="70" spans="2:10">
      <c r="J70" s="26" t="s">
        <v>16</v>
      </c>
    </row>
    <row r="71" spans="2:10" ht="42.75">
      <c r="B71" s="269" t="s">
        <v>157</v>
      </c>
      <c r="C71" s="250" t="s">
        <v>49</v>
      </c>
      <c r="D71" s="363" t="s">
        <v>413</v>
      </c>
      <c r="E71" s="363" t="s">
        <v>12</v>
      </c>
      <c r="F71" s="363" t="s">
        <v>135</v>
      </c>
      <c r="G71" s="363" t="s">
        <v>136</v>
      </c>
      <c r="H71" s="363" t="s">
        <v>137</v>
      </c>
      <c r="I71" s="363" t="s">
        <v>138</v>
      </c>
      <c r="J71" s="363" t="s">
        <v>640</v>
      </c>
    </row>
    <row r="72" spans="2:10">
      <c r="B72" s="92">
        <v>1</v>
      </c>
      <c r="C72" s="284" t="s">
        <v>74</v>
      </c>
      <c r="D72" s="680">
        <f>+'ARR-Summary'!H13</f>
        <v>2.1800000000000002</v>
      </c>
      <c r="E72" s="680">
        <f>+'ARR-Summary'!I13</f>
        <v>3.3717769149999999</v>
      </c>
      <c r="F72" s="466">
        <f>+D72-E72</f>
        <v>-1.1917769149999997</v>
      </c>
      <c r="G72" s="32"/>
      <c r="H72" s="32"/>
      <c r="I72" s="32"/>
      <c r="J72" s="29"/>
    </row>
    <row r="73" spans="2:10">
      <c r="B73" s="92">
        <f>B72+1</f>
        <v>2</v>
      </c>
      <c r="C73" s="106" t="s">
        <v>153</v>
      </c>
      <c r="D73" s="680">
        <f>+'ARR-Summary'!H14</f>
        <v>2.2599999999999998</v>
      </c>
      <c r="E73" s="680">
        <f>+'ARR-Summary'!I14</f>
        <v>2.5198361598702839</v>
      </c>
      <c r="F73" s="466">
        <f t="shared" ref="F73:F87" si="4">+D73-E73</f>
        <v>-0.25983615987028408</v>
      </c>
      <c r="G73" s="29"/>
      <c r="H73" s="29"/>
      <c r="I73" s="29"/>
      <c r="J73" s="29"/>
    </row>
    <row r="74" spans="2:10">
      <c r="B74" s="92">
        <f t="shared" ref="B74:B84" si="5">B73+1</f>
        <v>3</v>
      </c>
      <c r="C74" s="284" t="s">
        <v>152</v>
      </c>
      <c r="D74" s="680">
        <f>+'ARR-Summary'!H15</f>
        <v>3.194245</v>
      </c>
      <c r="E74" s="680">
        <f>+'ARR-Summary'!I15</f>
        <v>3.4119580605644564</v>
      </c>
      <c r="F74" s="466">
        <f t="shared" si="4"/>
        <v>-0.21771306056445638</v>
      </c>
      <c r="G74" s="29"/>
      <c r="H74" s="29"/>
      <c r="I74" s="29"/>
      <c r="J74" s="29"/>
    </row>
    <row r="75" spans="2:10">
      <c r="B75" s="92">
        <f t="shared" si="5"/>
        <v>4</v>
      </c>
      <c r="C75" s="106" t="s">
        <v>75</v>
      </c>
      <c r="D75" s="680">
        <f>+'ARR-Summary'!H16</f>
        <v>1.4580000000000003E-2</v>
      </c>
      <c r="E75" s="680">
        <f>+'ARR-Summary'!I16</f>
        <v>9.3599090640029883E-3</v>
      </c>
      <c r="F75" s="466">
        <f t="shared" si="4"/>
        <v>5.2200909359970144E-3</v>
      </c>
      <c r="G75" s="29"/>
      <c r="H75" s="29"/>
      <c r="I75" s="29"/>
      <c r="J75" s="29"/>
    </row>
    <row r="76" spans="2:10" ht="30">
      <c r="B76" s="92">
        <f t="shared" si="5"/>
        <v>5</v>
      </c>
      <c r="C76" s="94" t="s">
        <v>259</v>
      </c>
      <c r="D76" s="680">
        <f>+'ARR-Summary'!H17</f>
        <v>5.4000000000000006E-2</v>
      </c>
      <c r="E76" s="680">
        <f>+'ARR-Summary'!I17</f>
        <v>3.4479520000000007E-2</v>
      </c>
      <c r="F76" s="466">
        <f t="shared" si="4"/>
        <v>1.952048E-2</v>
      </c>
      <c r="G76" s="29"/>
      <c r="H76" s="29"/>
      <c r="I76" s="29"/>
      <c r="J76" s="29"/>
    </row>
    <row r="77" spans="2:10">
      <c r="B77" s="92">
        <f t="shared" si="5"/>
        <v>6</v>
      </c>
      <c r="C77" s="94" t="s">
        <v>227</v>
      </c>
      <c r="D77" s="680">
        <f>+'ARR-Summary'!H18</f>
        <v>0</v>
      </c>
      <c r="E77" s="680">
        <f>+'ARR-Summary'!I18</f>
        <v>0</v>
      </c>
      <c r="F77" s="466">
        <f t="shared" si="4"/>
        <v>0</v>
      </c>
      <c r="G77" s="29"/>
      <c r="H77" s="29"/>
      <c r="I77" s="29"/>
      <c r="J77" s="29"/>
    </row>
    <row r="78" spans="2:10">
      <c r="B78" s="92">
        <f t="shared" si="5"/>
        <v>7</v>
      </c>
      <c r="C78" s="94" t="s">
        <v>228</v>
      </c>
      <c r="D78" s="680">
        <f>+'ARR-Summary'!H19</f>
        <v>0.23320000000000002</v>
      </c>
      <c r="E78" s="680">
        <f>+'ARR-Summary'!I19</f>
        <v>0.25444223550278455</v>
      </c>
      <c r="F78" s="466">
        <f t="shared" si="4"/>
        <v>-2.1242235502784534E-2</v>
      </c>
      <c r="G78" s="29"/>
      <c r="H78" s="29"/>
      <c r="I78" s="29"/>
      <c r="J78" s="29"/>
    </row>
    <row r="79" spans="2:10">
      <c r="B79" s="92">
        <f t="shared" si="5"/>
        <v>8</v>
      </c>
      <c r="C79" s="235" t="s">
        <v>76</v>
      </c>
      <c r="D79" s="680">
        <f>+'ARR-Summary'!H20</f>
        <v>0.45</v>
      </c>
      <c r="E79" s="680">
        <f ca="1">+'ARR-Summary'!I20</f>
        <v>0.30147928197489482</v>
      </c>
      <c r="F79" s="466">
        <f t="shared" ca="1" si="4"/>
        <v>0.14852071802510519</v>
      </c>
      <c r="G79" s="29"/>
      <c r="H79" s="29"/>
      <c r="I79" s="29"/>
      <c r="J79" s="29"/>
    </row>
    <row r="80" spans="2:10" s="27" customFormat="1" ht="14.25">
      <c r="B80" s="93">
        <f t="shared" si="5"/>
        <v>9</v>
      </c>
      <c r="C80" s="285" t="s">
        <v>77</v>
      </c>
      <c r="D80" s="683">
        <f>SUM(D72:D79)</f>
        <v>8.3860250000000001</v>
      </c>
      <c r="E80" s="683">
        <f ca="1">SUM(E72:E79)</f>
        <v>9.9033320819764228</v>
      </c>
      <c r="F80" s="468">
        <f t="shared" ca="1" si="4"/>
        <v>-1.5173070819764227</v>
      </c>
      <c r="G80" s="32"/>
      <c r="H80" s="32"/>
      <c r="I80" s="32"/>
      <c r="J80" s="32"/>
    </row>
    <row r="81" spans="2:10">
      <c r="B81" s="92">
        <f t="shared" si="5"/>
        <v>10</v>
      </c>
      <c r="C81" s="235" t="s">
        <v>78</v>
      </c>
      <c r="D81" s="680">
        <f>+'ARR-Summary'!H22</f>
        <v>2.1619400000000004</v>
      </c>
      <c r="E81" s="680">
        <f>+'ARR-Summary'!I22</f>
        <v>2.3786406105549465</v>
      </c>
      <c r="F81" s="466">
        <f t="shared" si="4"/>
        <v>-0.21670061055494605</v>
      </c>
      <c r="G81" s="32"/>
      <c r="H81" s="32"/>
      <c r="I81" s="32"/>
      <c r="J81" s="29"/>
    </row>
    <row r="82" spans="2:10" s="27" customFormat="1" ht="14.25">
      <c r="B82" s="93">
        <f t="shared" si="5"/>
        <v>11</v>
      </c>
      <c r="C82" s="285" t="s">
        <v>80</v>
      </c>
      <c r="D82" s="683">
        <f>+D80+D81</f>
        <v>10.547965000000001</v>
      </c>
      <c r="E82" s="683">
        <f ca="1">+E80+E81</f>
        <v>12.281972692531369</v>
      </c>
      <c r="F82" s="468">
        <f t="shared" ca="1" si="4"/>
        <v>-1.7340076925313674</v>
      </c>
      <c r="G82" s="32"/>
      <c r="H82" s="32"/>
      <c r="I82" s="32"/>
      <c r="J82" s="32"/>
    </row>
    <row r="83" spans="2:10">
      <c r="B83" s="92">
        <f t="shared" si="5"/>
        <v>12</v>
      </c>
      <c r="C83" s="235" t="s">
        <v>79</v>
      </c>
      <c r="D83" s="680">
        <f>+'ARR-Summary'!H24</f>
        <v>0</v>
      </c>
      <c r="E83" s="680">
        <f>+'ARR-Summary'!I24</f>
        <v>0</v>
      </c>
      <c r="F83" s="466">
        <f t="shared" si="4"/>
        <v>0</v>
      </c>
      <c r="G83" s="32"/>
      <c r="H83" s="32"/>
      <c r="I83" s="32"/>
      <c r="J83" s="29"/>
    </row>
    <row r="84" spans="2:10">
      <c r="B84" s="92">
        <f t="shared" si="5"/>
        <v>13</v>
      </c>
      <c r="C84" s="284" t="s">
        <v>232</v>
      </c>
      <c r="D84" s="550">
        <f>+'ARR-Summary'!H25</f>
        <v>0</v>
      </c>
      <c r="E84" s="550">
        <f>+'ARR-Summary'!I25</f>
        <v>0</v>
      </c>
      <c r="F84" s="560">
        <f t="shared" si="4"/>
        <v>0</v>
      </c>
      <c r="G84" s="248"/>
      <c r="H84" s="32"/>
      <c r="I84" s="32"/>
      <c r="J84" s="29"/>
    </row>
    <row r="85" spans="2:10" s="27" customFormat="1" ht="28.5">
      <c r="B85" s="103" t="s">
        <v>82</v>
      </c>
      <c r="C85" s="162" t="s">
        <v>261</v>
      </c>
      <c r="D85" s="551">
        <f>+D82-D83-D84</f>
        <v>10.547965000000001</v>
      </c>
      <c r="E85" s="551">
        <f ca="1">+E82-E83-E84</f>
        <v>12.281972692531369</v>
      </c>
      <c r="F85" s="845">
        <f t="shared" ca="1" si="4"/>
        <v>-1.7340076925313674</v>
      </c>
      <c r="G85" s="248"/>
      <c r="H85" s="32"/>
      <c r="I85" s="32"/>
      <c r="J85" s="32"/>
    </row>
    <row r="86" spans="2:10">
      <c r="B86" s="95">
        <f>+B84+1</f>
        <v>14</v>
      </c>
      <c r="C86" s="284" t="s">
        <v>1119</v>
      </c>
      <c r="D86" s="550">
        <f>+'ARR-Summary'!H27</f>
        <v>-0.57441004033436904</v>
      </c>
      <c r="E86" s="550">
        <f>+'ARR-Summary'!I27</f>
        <v>-0.57441004033436904</v>
      </c>
      <c r="F86" s="560">
        <f t="shared" si="4"/>
        <v>0</v>
      </c>
      <c r="G86" s="105"/>
      <c r="H86" s="29"/>
      <c r="I86" s="29"/>
      <c r="J86" s="29"/>
    </row>
    <row r="87" spans="2:10" s="27" customFormat="1" ht="14.25">
      <c r="B87" s="103" t="s">
        <v>1120</v>
      </c>
      <c r="C87" s="162" t="s">
        <v>1118</v>
      </c>
      <c r="D87" s="551">
        <f>+D85+D86</f>
        <v>9.9735549596656323</v>
      </c>
      <c r="E87" s="551">
        <f ca="1">+E85+E86</f>
        <v>11.707562652197</v>
      </c>
      <c r="F87" s="845">
        <f t="shared" ca="1" si="4"/>
        <v>-1.7340076925313674</v>
      </c>
      <c r="G87" s="248"/>
      <c r="H87" s="32"/>
      <c r="I87" s="32"/>
      <c r="J87" s="32"/>
    </row>
    <row r="88" spans="2:10">
      <c r="B88" s="103"/>
      <c r="C88" s="248"/>
      <c r="D88" s="550"/>
      <c r="E88" s="550"/>
      <c r="F88" s="248"/>
      <c r="G88" s="248"/>
      <c r="H88" s="32"/>
      <c r="I88" s="32"/>
      <c r="J88" s="29"/>
    </row>
    <row r="89" spans="2:10">
      <c r="B89" s="103" t="s">
        <v>89</v>
      </c>
      <c r="C89" s="248" t="s">
        <v>139</v>
      </c>
      <c r="D89" s="550"/>
      <c r="E89" s="550"/>
      <c r="F89" s="248"/>
      <c r="G89" s="248"/>
      <c r="H89" s="32"/>
      <c r="I89" s="32"/>
      <c r="J89" s="29"/>
    </row>
    <row r="90" spans="2:10" s="27" customFormat="1" ht="14.25">
      <c r="B90" s="103">
        <v>15</v>
      </c>
      <c r="C90" s="288" t="s">
        <v>1093</v>
      </c>
      <c r="D90" s="551">
        <v>9.9700000000000006</v>
      </c>
      <c r="E90" s="551">
        <v>0</v>
      </c>
      <c r="F90" s="845">
        <f t="shared" ref="F90:F92" si="6">+D90-E90</f>
        <v>9.9700000000000006</v>
      </c>
      <c r="G90" s="248"/>
      <c r="H90" s="32"/>
      <c r="I90" s="32"/>
      <c r="J90" s="32"/>
    </row>
    <row r="91" spans="2:10">
      <c r="B91" s="95"/>
      <c r="C91" s="106"/>
      <c r="D91" s="551"/>
      <c r="E91" s="551"/>
      <c r="F91" s="105"/>
      <c r="G91" s="105"/>
      <c r="H91" s="29"/>
      <c r="I91" s="29"/>
      <c r="J91" s="29"/>
    </row>
    <row r="92" spans="2:10">
      <c r="B92" s="103" t="s">
        <v>90</v>
      </c>
      <c r="C92" s="288" t="s">
        <v>144</v>
      </c>
      <c r="D92" s="551">
        <f>+D87-D90</f>
        <v>3.5549596656316851E-3</v>
      </c>
      <c r="E92" s="551">
        <f ca="1">+E87-E90</f>
        <v>11.707562652197</v>
      </c>
      <c r="F92" s="845">
        <f t="shared" ca="1" si="6"/>
        <v>-11.704007692531368</v>
      </c>
      <c r="G92" s="248"/>
      <c r="H92" s="32"/>
      <c r="I92" s="32"/>
      <c r="J92" s="29"/>
    </row>
    <row r="94" spans="2:10">
      <c r="B94" s="107" t="s">
        <v>141</v>
      </c>
    </row>
    <row r="95" spans="2:10">
      <c r="C95" s="18" t="s">
        <v>747</v>
      </c>
    </row>
    <row r="97" spans="2:10">
      <c r="C97" s="27" t="s">
        <v>258</v>
      </c>
      <c r="D97" s="72"/>
      <c r="E97" s="72"/>
      <c r="F97" s="72"/>
      <c r="G97" s="72"/>
      <c r="H97" s="72"/>
      <c r="I97" s="72"/>
    </row>
    <row r="98" spans="2:10">
      <c r="C98" s="107"/>
      <c r="D98" s="72"/>
      <c r="E98" s="72"/>
      <c r="F98" s="72"/>
      <c r="G98" s="72"/>
      <c r="H98" s="72"/>
      <c r="I98" s="72"/>
      <c r="J98" s="26" t="s">
        <v>16</v>
      </c>
    </row>
    <row r="99" spans="2:10" ht="42.75">
      <c r="B99" s="269" t="s">
        <v>157</v>
      </c>
      <c r="C99" s="250" t="s">
        <v>49</v>
      </c>
      <c r="D99" s="363" t="s">
        <v>413</v>
      </c>
      <c r="E99" s="363" t="s">
        <v>12</v>
      </c>
      <c r="F99" s="363" t="s">
        <v>135</v>
      </c>
      <c r="G99" s="363" t="s">
        <v>136</v>
      </c>
      <c r="H99" s="363" t="s">
        <v>137</v>
      </c>
      <c r="I99" s="363" t="s">
        <v>138</v>
      </c>
      <c r="J99" s="363" t="s">
        <v>640</v>
      </c>
    </row>
    <row r="100" spans="2:10" ht="30">
      <c r="B100" s="92">
        <v>1</v>
      </c>
      <c r="C100" s="235" t="s">
        <v>262</v>
      </c>
      <c r="D100" s="680">
        <f>+'ARR-Summary'!H38</f>
        <v>38.864996331315126</v>
      </c>
      <c r="E100" s="680">
        <f>+'ARR-Summary'!I38</f>
        <v>34.393057550830008</v>
      </c>
      <c r="F100" s="466">
        <f t="shared" ref="F100:F120" si="7">+D100-E100</f>
        <v>4.4719387804851181</v>
      </c>
      <c r="G100" s="29"/>
      <c r="H100" s="29"/>
      <c r="I100" s="29"/>
      <c r="J100" s="29"/>
    </row>
    <row r="101" spans="2:10">
      <c r="B101" s="92">
        <f>B100+1</f>
        <v>2</v>
      </c>
      <c r="C101" s="284" t="s">
        <v>74</v>
      </c>
      <c r="D101" s="680">
        <f>+'ARR-Summary'!H39</f>
        <v>1.0649999999999999</v>
      </c>
      <c r="E101" s="680">
        <f>+'ARR-Summary'!I39</f>
        <v>1.8155721850000002</v>
      </c>
      <c r="F101" s="466">
        <f t="shared" si="7"/>
        <v>-0.75057218500000022</v>
      </c>
      <c r="G101" s="32"/>
      <c r="H101" s="32"/>
      <c r="I101" s="32"/>
      <c r="J101" s="29"/>
    </row>
    <row r="102" spans="2:10">
      <c r="B102" s="92">
        <f t="shared" ref="B102:B117" si="8">B101+1</f>
        <v>3</v>
      </c>
      <c r="C102" s="106" t="s">
        <v>153</v>
      </c>
      <c r="D102" s="680">
        <f>+'ARR-Summary'!H40</f>
        <v>0.1</v>
      </c>
      <c r="E102" s="680">
        <f>+'ARR-Summary'!I40</f>
        <v>8.9335976329716307E-2</v>
      </c>
      <c r="F102" s="466">
        <f t="shared" si="7"/>
        <v>1.0664023670283698E-2</v>
      </c>
      <c r="G102" s="29"/>
      <c r="H102" s="29"/>
      <c r="I102" s="29"/>
      <c r="J102" s="29"/>
    </row>
    <row r="103" spans="2:10">
      <c r="B103" s="92">
        <f t="shared" si="8"/>
        <v>4</v>
      </c>
      <c r="C103" s="284" t="s">
        <v>152</v>
      </c>
      <c r="D103" s="680">
        <f>+'ARR-Summary'!H41</f>
        <v>0.12556799999999996</v>
      </c>
      <c r="E103" s="680">
        <f>+'ARR-Summary'!I41</f>
        <v>0.11080141424404269</v>
      </c>
      <c r="F103" s="466">
        <f t="shared" si="7"/>
        <v>1.4766585755957268E-2</v>
      </c>
      <c r="G103" s="29"/>
      <c r="H103" s="29"/>
      <c r="I103" s="29"/>
      <c r="J103" s="29"/>
    </row>
    <row r="104" spans="2:10">
      <c r="B104" s="92">
        <f t="shared" si="8"/>
        <v>5</v>
      </c>
      <c r="C104" s="106" t="s">
        <v>75</v>
      </c>
      <c r="D104" s="680">
        <f>+'ARR-Summary'!H42</f>
        <v>0.13122</v>
      </c>
      <c r="E104" s="680">
        <f>+'ARR-Summary'!I42</f>
        <v>8.4239181576026903E-2</v>
      </c>
      <c r="F104" s="466">
        <f t="shared" si="7"/>
        <v>4.69808184239731E-2</v>
      </c>
      <c r="G104" s="29"/>
      <c r="H104" s="29"/>
      <c r="I104" s="29"/>
      <c r="J104" s="29"/>
    </row>
    <row r="105" spans="2:10">
      <c r="B105" s="92">
        <f t="shared" si="8"/>
        <v>6</v>
      </c>
      <c r="C105" s="94" t="s">
        <v>263</v>
      </c>
      <c r="D105" s="680">
        <f>+'ARR-Summary'!H43</f>
        <v>0.48600000000000004</v>
      </c>
      <c r="E105" s="680">
        <f>+'ARR-Summary'!I43</f>
        <v>0.31031568000000004</v>
      </c>
      <c r="F105" s="466">
        <f t="shared" si="7"/>
        <v>0.17568432</v>
      </c>
      <c r="G105" s="29"/>
      <c r="H105" s="29"/>
      <c r="I105" s="29"/>
      <c r="J105" s="29"/>
    </row>
    <row r="106" spans="2:10">
      <c r="B106" s="92">
        <f t="shared" si="8"/>
        <v>7</v>
      </c>
      <c r="C106" s="94" t="s">
        <v>227</v>
      </c>
      <c r="D106" s="680">
        <f>+'ARR-Summary'!H44</f>
        <v>0</v>
      </c>
      <c r="E106" s="680">
        <f>+'ARR-Summary'!I44</f>
        <v>0</v>
      </c>
      <c r="F106" s="466">
        <f t="shared" si="7"/>
        <v>0</v>
      </c>
      <c r="G106" s="29"/>
      <c r="H106" s="29"/>
      <c r="I106" s="29"/>
      <c r="J106" s="29"/>
    </row>
    <row r="107" spans="2:10">
      <c r="B107" s="92">
        <f t="shared" si="8"/>
        <v>8</v>
      </c>
      <c r="C107" s="94" t="s">
        <v>228</v>
      </c>
      <c r="D107" s="680">
        <f>+'ARR-Summary'!H45</f>
        <v>9.2500000000000013E-3</v>
      </c>
      <c r="E107" s="680">
        <f>+'ARR-Summary'!I45</f>
        <v>8.3442949972154651E-3</v>
      </c>
      <c r="F107" s="466">
        <f t="shared" si="7"/>
        <v>9.057050027845362E-4</v>
      </c>
      <c r="G107" s="29"/>
      <c r="H107" s="29"/>
      <c r="I107" s="29"/>
      <c r="J107" s="29"/>
    </row>
    <row r="108" spans="2:10">
      <c r="B108" s="92">
        <f t="shared" si="8"/>
        <v>9</v>
      </c>
      <c r="C108" s="94" t="s">
        <v>230</v>
      </c>
      <c r="D108" s="680">
        <f>+'ARR-Summary'!H46</f>
        <v>4.04</v>
      </c>
      <c r="E108" s="680">
        <f>+'ARR-Summary'!I46</f>
        <v>4.8914493999999999</v>
      </c>
      <c r="F108" s="466">
        <f t="shared" si="7"/>
        <v>-0.85144939999999991</v>
      </c>
      <c r="G108" s="29"/>
      <c r="H108" s="29"/>
      <c r="I108" s="29"/>
      <c r="J108" s="29"/>
    </row>
    <row r="109" spans="2:10">
      <c r="B109" s="92">
        <f t="shared" si="8"/>
        <v>10</v>
      </c>
      <c r="C109" s="94" t="s">
        <v>231</v>
      </c>
      <c r="D109" s="680">
        <f>+'ARR-Summary'!H47</f>
        <v>0.01</v>
      </c>
      <c r="E109" s="680">
        <f>+'ARR-Summary'!I47</f>
        <v>9.9000000000000008E-3</v>
      </c>
      <c r="F109" s="466">
        <f t="shared" si="7"/>
        <v>9.9999999999999395E-5</v>
      </c>
      <c r="G109" s="29"/>
      <c r="H109" s="29"/>
      <c r="I109" s="29"/>
      <c r="J109" s="29"/>
    </row>
    <row r="110" spans="2:10">
      <c r="B110" s="92">
        <f t="shared" si="8"/>
        <v>11</v>
      </c>
      <c r="C110" s="235" t="s">
        <v>76</v>
      </c>
      <c r="D110" s="680">
        <f>+'ARR-Summary'!H48</f>
        <v>4.9999999999999989E-2</v>
      </c>
      <c r="E110" s="680">
        <f ca="1">+'ARR-Summary'!I48</f>
        <v>3.3497697997210529E-2</v>
      </c>
      <c r="F110" s="466">
        <f t="shared" ca="1" si="7"/>
        <v>1.650230200278946E-2</v>
      </c>
      <c r="G110" s="32"/>
      <c r="H110" s="32"/>
      <c r="I110" s="32"/>
      <c r="J110" s="29"/>
    </row>
    <row r="111" spans="2:10" s="27" customFormat="1" ht="14.25">
      <c r="B111" s="93">
        <f t="shared" si="8"/>
        <v>12</v>
      </c>
      <c r="C111" s="285" t="s">
        <v>77</v>
      </c>
      <c r="D111" s="683">
        <f>SUM(D100:D110)</f>
        <v>44.882034331315118</v>
      </c>
      <c r="E111" s="683">
        <f ca="1">SUM(E100:E110)</f>
        <v>41.746513380974221</v>
      </c>
      <c r="F111" s="468">
        <f t="shared" ca="1" si="7"/>
        <v>3.1355209503408972</v>
      </c>
      <c r="G111" s="32"/>
      <c r="H111" s="32"/>
      <c r="I111" s="32"/>
      <c r="J111" s="32"/>
    </row>
    <row r="112" spans="2:10">
      <c r="B112" s="92">
        <f t="shared" si="8"/>
        <v>13</v>
      </c>
      <c r="C112" s="235" t="s">
        <v>78</v>
      </c>
      <c r="D112" s="680">
        <f>+'ARR-Summary'!H50</f>
        <v>9.5374999999999988E-2</v>
      </c>
      <c r="E112" s="680">
        <f>+'ARR-Summary'!I50</f>
        <v>8.8071547341189521E-2</v>
      </c>
      <c r="F112" s="466">
        <f t="shared" si="7"/>
        <v>7.3034526588104665E-3</v>
      </c>
      <c r="G112" s="32"/>
      <c r="H112" s="32"/>
      <c r="I112" s="32"/>
      <c r="J112" s="29"/>
    </row>
    <row r="113" spans="2:10" s="27" customFormat="1" ht="14.25">
      <c r="B113" s="93">
        <f t="shared" si="8"/>
        <v>14</v>
      </c>
      <c r="C113" s="285" t="s">
        <v>80</v>
      </c>
      <c r="D113" s="683">
        <f>+D111+D112</f>
        <v>44.977409331315116</v>
      </c>
      <c r="E113" s="683">
        <f ca="1">+E111+E112</f>
        <v>41.834584928315408</v>
      </c>
      <c r="F113" s="468">
        <f t="shared" ca="1" si="7"/>
        <v>3.1428244029997074</v>
      </c>
      <c r="G113" s="32"/>
      <c r="H113" s="32"/>
      <c r="I113" s="32"/>
      <c r="J113" s="32"/>
    </row>
    <row r="114" spans="2:10">
      <c r="B114" s="92">
        <f t="shared" si="8"/>
        <v>15</v>
      </c>
      <c r="C114" s="235" t="s">
        <v>79</v>
      </c>
      <c r="D114" s="680">
        <f>+'ARR-Summary'!H52</f>
        <v>0.01</v>
      </c>
      <c r="E114" s="680">
        <f>+'ARR-Summary'!I52</f>
        <v>0.29696020000000001</v>
      </c>
      <c r="F114" s="466">
        <f t="shared" si="7"/>
        <v>-0.2869602</v>
      </c>
      <c r="G114" s="32"/>
      <c r="H114" s="32"/>
      <c r="I114" s="32"/>
      <c r="J114" s="29"/>
    </row>
    <row r="115" spans="2:10">
      <c r="B115" s="92">
        <f t="shared" si="8"/>
        <v>16</v>
      </c>
      <c r="C115" s="235" t="s">
        <v>232</v>
      </c>
      <c r="D115" s="680">
        <f>+'ARR-Summary'!H53</f>
        <v>0</v>
      </c>
      <c r="E115" s="680">
        <f>+'ARR-Summary'!I53</f>
        <v>0</v>
      </c>
      <c r="F115" s="466">
        <f t="shared" si="7"/>
        <v>0</v>
      </c>
      <c r="G115" s="32"/>
      <c r="H115" s="32"/>
      <c r="I115" s="32"/>
      <c r="J115" s="29"/>
    </row>
    <row r="116" spans="2:10">
      <c r="B116" s="92">
        <f t="shared" si="8"/>
        <v>17</v>
      </c>
      <c r="C116" s="235" t="s">
        <v>233</v>
      </c>
      <c r="D116" s="680">
        <f>+'ARR-Summary'!H54</f>
        <v>0</v>
      </c>
      <c r="E116" s="680">
        <f>+'ARR-Summary'!I54</f>
        <v>0</v>
      </c>
      <c r="F116" s="466">
        <f t="shared" si="7"/>
        <v>0</v>
      </c>
      <c r="G116" s="32"/>
      <c r="H116" s="32"/>
      <c r="I116" s="32"/>
      <c r="J116" s="29"/>
    </row>
    <row r="117" spans="2:10" ht="30">
      <c r="B117" s="92">
        <f t="shared" si="8"/>
        <v>18</v>
      </c>
      <c r="C117" s="235" t="s">
        <v>264</v>
      </c>
      <c r="D117" s="442">
        <f>+'ARR-Summary'!H55</f>
        <v>0</v>
      </c>
      <c r="E117" s="680">
        <f>+'ARR-Summary'!I55</f>
        <v>0</v>
      </c>
      <c r="F117" s="466">
        <f t="shared" si="7"/>
        <v>0</v>
      </c>
      <c r="G117" s="29"/>
      <c r="H117" s="29"/>
      <c r="I117" s="29"/>
      <c r="J117" s="29"/>
    </row>
    <row r="118" spans="2:10" s="27" customFormat="1" ht="28.5">
      <c r="B118" s="93" t="s">
        <v>82</v>
      </c>
      <c r="C118" s="162" t="s">
        <v>260</v>
      </c>
      <c r="D118" s="551">
        <f>+D113-SUM(D114:D117)</f>
        <v>44.967409331315118</v>
      </c>
      <c r="E118" s="551">
        <f ca="1">+E113-SUM(E114:E117)</f>
        <v>41.537624728315407</v>
      </c>
      <c r="F118" s="845">
        <f t="shared" ca="1" si="7"/>
        <v>3.4297846029997103</v>
      </c>
      <c r="G118" s="32"/>
      <c r="H118" s="32"/>
      <c r="I118" s="32"/>
      <c r="J118" s="32"/>
    </row>
    <row r="119" spans="2:10">
      <c r="B119" s="95">
        <f>+B117+1</f>
        <v>19</v>
      </c>
      <c r="C119" s="284" t="s">
        <v>1119</v>
      </c>
      <c r="D119" s="845">
        <f>+'ARR-Summary'!H57</f>
        <v>-2.4487881224229309</v>
      </c>
      <c r="E119" s="845">
        <f>+'ARR-Summary'!I57</f>
        <v>-2.4487881224229309</v>
      </c>
      <c r="F119" s="560">
        <f t="shared" si="7"/>
        <v>0</v>
      </c>
      <c r="G119" s="29"/>
      <c r="H119" s="29"/>
      <c r="I119" s="29"/>
      <c r="J119" s="29"/>
    </row>
    <row r="120" spans="2:10" s="27" customFormat="1" ht="14.25">
      <c r="B120" s="103" t="s">
        <v>1120</v>
      </c>
      <c r="C120" s="162" t="s">
        <v>1118</v>
      </c>
      <c r="D120" s="1087">
        <f>+D118+D119</f>
        <v>42.518621208892185</v>
      </c>
      <c r="E120" s="1087">
        <f ca="1">+E118+E119</f>
        <v>39.088836605892475</v>
      </c>
      <c r="F120" s="845">
        <f t="shared" ca="1" si="7"/>
        <v>3.4297846029997103</v>
      </c>
      <c r="G120" s="32"/>
      <c r="H120" s="32"/>
      <c r="I120" s="32"/>
      <c r="J120" s="32"/>
    </row>
    <row r="121" spans="2:10">
      <c r="B121" s="29"/>
      <c r="C121" s="105"/>
      <c r="D121" s="105"/>
      <c r="E121" s="105"/>
      <c r="F121" s="105"/>
      <c r="G121" s="29"/>
      <c r="H121" s="29"/>
      <c r="I121" s="29"/>
      <c r="J121" s="29"/>
    </row>
    <row r="122" spans="2:10">
      <c r="B122" s="103" t="s">
        <v>89</v>
      </c>
      <c r="C122" s="248" t="s">
        <v>139</v>
      </c>
      <c r="D122" s="248"/>
      <c r="E122" s="248"/>
      <c r="F122" s="248"/>
      <c r="G122" s="32"/>
      <c r="H122" s="32"/>
      <c r="I122" s="32"/>
      <c r="J122" s="29"/>
    </row>
    <row r="123" spans="2:10" s="27" customFormat="1" ht="14.25">
      <c r="B123" s="103">
        <v>20</v>
      </c>
      <c r="C123" s="288" t="s">
        <v>140</v>
      </c>
      <c r="D123" s="1087">
        <f>+D120</f>
        <v>42.518621208892185</v>
      </c>
      <c r="E123" s="551">
        <f>+'F13'!M46</f>
        <v>52.960947008639991</v>
      </c>
      <c r="F123" s="845">
        <f t="shared" ref="F123:F125" si="9">+D123-E123</f>
        <v>-10.442325799747806</v>
      </c>
      <c r="G123" s="32"/>
      <c r="H123" s="32"/>
      <c r="I123" s="32"/>
      <c r="J123" s="32"/>
    </row>
    <row r="124" spans="2:10">
      <c r="B124" s="95"/>
      <c r="C124" s="106"/>
      <c r="D124" s="105"/>
      <c r="E124" s="105"/>
      <c r="F124" s="105"/>
      <c r="G124" s="29"/>
      <c r="H124" s="29"/>
      <c r="I124" s="29"/>
      <c r="J124" s="29"/>
    </row>
    <row r="125" spans="2:10" s="27" customFormat="1" ht="14.25">
      <c r="B125" s="103" t="s">
        <v>90</v>
      </c>
      <c r="C125" s="288" t="s">
        <v>144</v>
      </c>
      <c r="D125" s="1087">
        <f>+D120-D123</f>
        <v>0</v>
      </c>
      <c r="E125" s="845">
        <f ca="1">+(E120+E87)-E123</f>
        <v>-2.1645477505505184</v>
      </c>
      <c r="F125" s="845">
        <f t="shared" ca="1" si="9"/>
        <v>2.1645477505505184</v>
      </c>
      <c r="G125" s="32"/>
      <c r="H125" s="32"/>
      <c r="I125" s="32"/>
      <c r="J125" s="32"/>
    </row>
    <row r="127" spans="2:10">
      <c r="B127" s="107" t="s">
        <v>141</v>
      </c>
    </row>
    <row r="128" spans="2:10">
      <c r="C128" s="18" t="s">
        <v>747</v>
      </c>
    </row>
  </sheetData>
  <pageMargins left="1.1023622047244095" right="0.27559055118110237" top="1.2204724409448819" bottom="0.98425196850393704" header="0.51181102362204722" footer="0.51181102362204722"/>
  <pageSetup paperSize="9" scale="78" fitToHeight="0" orientation="landscape" r:id="rId1"/>
  <headerFooter alignWithMargins="0"/>
  <rowBreaks count="3" manualBreakCount="3">
    <brk id="33" max="9" man="1"/>
    <brk id="65" max="9" man="1"/>
    <brk id="96" max="16383" man="1"/>
  </rowBreaks>
  <legacy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0000"/>
  </sheetPr>
  <dimension ref="B2:H57"/>
  <sheetViews>
    <sheetView zoomScale="50" zoomScaleNormal="50" workbookViewId="0">
      <selection activeCell="V15" sqref="V15"/>
    </sheetView>
  </sheetViews>
  <sheetFormatPr defaultRowHeight="12.75"/>
  <cols>
    <col min="2" max="2" width="20.5703125" customWidth="1"/>
    <col min="3" max="3" width="10" bestFit="1" customWidth="1"/>
    <col min="4" max="4" width="13.42578125" bestFit="1" customWidth="1"/>
    <col min="5" max="5" width="10" bestFit="1" customWidth="1"/>
    <col min="6" max="6" width="13.42578125" bestFit="1" customWidth="1"/>
    <col min="7" max="7" width="10" bestFit="1" customWidth="1"/>
  </cols>
  <sheetData>
    <row r="2" spans="2:8">
      <c r="B2" s="785"/>
      <c r="C2" s="1563" t="s">
        <v>38</v>
      </c>
      <c r="D2" s="1563"/>
      <c r="E2" s="1563" t="s">
        <v>146</v>
      </c>
      <c r="F2" s="1563"/>
      <c r="G2" s="1563" t="s">
        <v>147</v>
      </c>
      <c r="H2" s="1563"/>
    </row>
    <row r="3" spans="2:8">
      <c r="B3" s="785"/>
      <c r="C3" s="785" t="s">
        <v>413</v>
      </c>
      <c r="D3" s="785" t="s">
        <v>12</v>
      </c>
      <c r="E3" s="785" t="s">
        <v>413</v>
      </c>
      <c r="F3" s="785" t="s">
        <v>12</v>
      </c>
      <c r="G3" s="785" t="s">
        <v>413</v>
      </c>
      <c r="H3" s="785" t="s">
        <v>12</v>
      </c>
    </row>
    <row r="4" spans="2:8">
      <c r="B4" s="720" t="s">
        <v>1241</v>
      </c>
      <c r="C4" s="723">
        <f>+'ARR-Summary'!E78</f>
        <v>46.707207348970798</v>
      </c>
      <c r="D4" s="723">
        <f ca="1">+'ARR-Summary'!F78</f>
        <v>51.881731108746884</v>
      </c>
      <c r="E4" s="723">
        <f>+'ARR-Summary'!H78</f>
        <v>52.492176168557819</v>
      </c>
      <c r="F4" s="723">
        <f ca="1">+'ARR-Summary'!I78</f>
        <v>50.79639925808948</v>
      </c>
      <c r="G4" s="723">
        <f>+'ARR-Summary'!K78</f>
        <v>59.355911837242715</v>
      </c>
      <c r="H4" s="723">
        <f>+'ARR-Summary'!N78</f>
        <v>50.739208712214094</v>
      </c>
    </row>
    <row r="5" spans="2:8">
      <c r="B5" s="720" t="s">
        <v>139</v>
      </c>
      <c r="C5" s="723">
        <f>+'ARR-Summary'!E79</f>
        <v>58.8</v>
      </c>
      <c r="D5" s="723">
        <f>+'ARR-Summary'!F79</f>
        <v>58.171096834999993</v>
      </c>
      <c r="E5" s="723">
        <f>+'ARR-Summary'!H79</f>
        <v>52.53</v>
      </c>
      <c r="F5" s="723">
        <f>+'ARR-Summary'!I79</f>
        <v>52.960947008639991</v>
      </c>
      <c r="G5" s="723">
        <f>+'ARR-Summary'!K79</f>
        <v>59.4</v>
      </c>
      <c r="H5" s="723">
        <f>+'ARR-Summary'!N79</f>
        <v>44.741646509079999</v>
      </c>
    </row>
    <row r="6" spans="2:8">
      <c r="B6" s="720" t="s">
        <v>1242</v>
      </c>
      <c r="C6" s="721">
        <f>+C4-C5</f>
        <v>-12.0927926510292</v>
      </c>
      <c r="D6" s="721">
        <f ca="1">+D4-D5</f>
        <v>-6.2893657262531093</v>
      </c>
      <c r="E6" s="721">
        <f t="shared" ref="E6:H6" si="0">+E4-E5</f>
        <v>-3.7823831442182154E-2</v>
      </c>
      <c r="F6" s="721">
        <f t="shared" ca="1" si="0"/>
        <v>-2.1645477505505113</v>
      </c>
      <c r="G6" s="721">
        <f t="shared" si="0"/>
        <v>-4.4088162757283555E-2</v>
      </c>
      <c r="H6" s="721">
        <f t="shared" si="0"/>
        <v>5.9975622031340947</v>
      </c>
    </row>
    <row r="8" spans="2:8">
      <c r="B8" s="720"/>
      <c r="C8" s="1564" t="s">
        <v>148</v>
      </c>
      <c r="D8" s="1564"/>
      <c r="E8" s="1564" t="s">
        <v>149</v>
      </c>
      <c r="F8" s="1564"/>
    </row>
    <row r="9" spans="2:8">
      <c r="B9" s="720"/>
      <c r="C9" s="720" t="s">
        <v>413</v>
      </c>
      <c r="D9" s="720" t="s">
        <v>1248</v>
      </c>
      <c r="E9" s="720" t="s">
        <v>413</v>
      </c>
      <c r="F9" s="720" t="s">
        <v>1248</v>
      </c>
    </row>
    <row r="10" spans="2:8">
      <c r="B10" s="720" t="s">
        <v>1247</v>
      </c>
      <c r="C10" s="723">
        <f>+'ARR-Summary'!P72</f>
        <v>65.968746638923804</v>
      </c>
      <c r="D10" s="723">
        <f>+'ARR-Summary'!Q72</f>
        <v>62.299013863476702</v>
      </c>
      <c r="E10" s="723">
        <f>+'ARR-Summary'!R72</f>
        <v>68.659114683211754</v>
      </c>
      <c r="F10" s="723">
        <f>+'ARR-Summary'!S72</f>
        <v>64.315045346591887</v>
      </c>
    </row>
    <row r="11" spans="2:8">
      <c r="B11" s="720" t="s">
        <v>1243</v>
      </c>
      <c r="C11" s="721">
        <f>+'ARR-Summary'!P73</f>
        <v>-3.0231981627572999</v>
      </c>
      <c r="D11" s="721">
        <f ca="1">+'ARR-Summary'!Q73+'ARR-Summary'!Q74</f>
        <v>-1.3900862845295514</v>
      </c>
      <c r="E11" s="721">
        <f>+'ARR-Summary'!R73</f>
        <v>-3.0231981627572999</v>
      </c>
      <c r="F11" s="721">
        <f>+'ARR-Summary'!I85</f>
        <v>0</v>
      </c>
    </row>
    <row r="12" spans="2:8">
      <c r="B12" s="720" t="s">
        <v>1244</v>
      </c>
      <c r="C12" s="721"/>
      <c r="D12" s="721">
        <f ca="1">+'ARR-Summary'!Q75+'ARR-Summary'!Q76</f>
        <v>-2.6036576476920654</v>
      </c>
      <c r="E12" s="721"/>
      <c r="F12" s="721"/>
    </row>
    <row r="13" spans="2:8">
      <c r="B13" s="720" t="s">
        <v>1245</v>
      </c>
      <c r="C13" s="721"/>
      <c r="D13" s="721">
        <f>+'ARR-Summary'!Q77</f>
        <v>1.1995124406268189</v>
      </c>
      <c r="E13" s="721"/>
      <c r="F13" s="721">
        <f>+'ARR-Summary'!S77</f>
        <v>4.7980497625072758</v>
      </c>
    </row>
    <row r="14" spans="2:8">
      <c r="B14" s="720" t="s">
        <v>1246</v>
      </c>
      <c r="C14" s="721">
        <f>+SUM(C10:C13)</f>
        <v>62.945548476166508</v>
      </c>
      <c r="D14" s="721">
        <f t="shared" ref="D14" ca="1" si="1">+SUM(D10:D13)</f>
        <v>59.504782371881902</v>
      </c>
      <c r="E14" s="721">
        <f t="shared" ref="E14" si="2">+SUM(E10:E13)</f>
        <v>65.635916520454458</v>
      </c>
      <c r="F14" s="721">
        <f t="shared" ref="F14" si="3">+SUM(F10:F13)</f>
        <v>69.113095109099163</v>
      </c>
    </row>
    <row r="17" spans="2:6">
      <c r="B17" s="720"/>
      <c r="C17" s="1564" t="s">
        <v>148</v>
      </c>
      <c r="D17" s="1564"/>
      <c r="E17" s="1564" t="s">
        <v>149</v>
      </c>
      <c r="F17" s="1564"/>
    </row>
    <row r="18" spans="2:6">
      <c r="B18" s="720"/>
      <c r="C18" s="720" t="s">
        <v>413</v>
      </c>
      <c r="D18" s="720" t="s">
        <v>1248</v>
      </c>
      <c r="E18" s="720" t="s">
        <v>413</v>
      </c>
      <c r="F18" s="720" t="s">
        <v>1248</v>
      </c>
    </row>
    <row r="19" spans="2:6" ht="30">
      <c r="B19" s="235" t="s">
        <v>1124</v>
      </c>
      <c r="C19" s="724">
        <f>+'ARR-Summary'!P87</f>
        <v>0.94384540664895111</v>
      </c>
      <c r="D19" s="724">
        <f ca="1">+'ARR-Summary'!Q87</f>
        <v>1.3385446192075825</v>
      </c>
      <c r="E19" s="724">
        <f>+'ARR-Summary'!R87</f>
        <v>0.9106089625696242</v>
      </c>
      <c r="F19" s="724">
        <f>+'ARR-Summary'!S87</f>
        <v>1.3565161708151909</v>
      </c>
    </row>
    <row r="20" spans="2:6" ht="30">
      <c r="B20" s="235" t="s">
        <v>1128</v>
      </c>
      <c r="C20" s="724">
        <f>+'ARR-Summary'!P88</f>
        <v>4.657759576972178</v>
      </c>
      <c r="D20" s="724">
        <f ca="1">+'ARR-Summary'!Q88</f>
        <v>5.3455541187154285</v>
      </c>
      <c r="E20" s="724">
        <f>+'ARR-Summary'!R88</f>
        <v>4.6749093353515487</v>
      </c>
      <c r="F20" s="724">
        <f>+'ARR-Summary'!S88</f>
        <v>5.9400739244388436</v>
      </c>
    </row>
    <row r="21" spans="2:6" ht="30">
      <c r="B21" s="235" t="s">
        <v>1125</v>
      </c>
      <c r="C21" s="724">
        <f>+'ARR-Summary'!P89</f>
        <v>5.6016049836211295</v>
      </c>
      <c r="D21" s="724">
        <f ca="1">+'ARR-Summary'!Q89</f>
        <v>6.6840987379230112</v>
      </c>
      <c r="E21" s="724">
        <f>+'ARR-Summary'!R89</f>
        <v>5.5855182979211726</v>
      </c>
      <c r="F21" s="724">
        <f>+'ARR-Summary'!S89</f>
        <v>7.296590095254035</v>
      </c>
    </row>
    <row r="42" spans="2:6">
      <c r="B42" s="1060"/>
      <c r="C42" s="1562" t="s">
        <v>148</v>
      </c>
      <c r="D42" s="1562"/>
      <c r="E42" s="1562" t="s">
        <v>149</v>
      </c>
      <c r="F42" s="1562"/>
    </row>
    <row r="43" spans="2:6">
      <c r="B43" s="1060"/>
      <c r="C43" s="1060" t="s">
        <v>1252</v>
      </c>
      <c r="D43" s="1060" t="s">
        <v>1253</v>
      </c>
      <c r="E43" s="1060" t="s">
        <v>1252</v>
      </c>
      <c r="F43" s="1060" t="s">
        <v>1253</v>
      </c>
    </row>
    <row r="44" spans="2:6">
      <c r="B44" s="1058" t="s">
        <v>833</v>
      </c>
      <c r="C44" s="1059">
        <f>+'Tariff Summary'!N7</f>
        <v>4.3199999999999994</v>
      </c>
      <c r="D44" s="1059">
        <v>0</v>
      </c>
      <c r="E44" s="1059">
        <f>+'Tariff Summary'!V7</f>
        <v>5.1199999999999992</v>
      </c>
      <c r="F44" s="1059">
        <v>0</v>
      </c>
    </row>
    <row r="45" spans="2:6">
      <c r="B45" s="1058" t="s">
        <v>1254</v>
      </c>
      <c r="C45" s="1059">
        <f ca="1">+'Tariff Summary'!M7</f>
        <v>1.3385446192075825</v>
      </c>
      <c r="D45" s="1059">
        <f ca="1">+C45</f>
        <v>1.3385446192075825</v>
      </c>
      <c r="E45" s="1059">
        <f>+'Tariff Summary'!U7</f>
        <v>1.3565161708151909</v>
      </c>
      <c r="F45" s="1059">
        <f>+E45</f>
        <v>1.3565161708151909</v>
      </c>
    </row>
    <row r="46" spans="2:6">
      <c r="B46" s="1058" t="s">
        <v>1255</v>
      </c>
      <c r="C46" s="1059">
        <v>0</v>
      </c>
      <c r="D46" s="1059">
        <f ca="1">+CSS!K6</f>
        <v>0.59</v>
      </c>
      <c r="E46" s="1059">
        <v>0</v>
      </c>
      <c r="F46" s="1059">
        <f>+CSS!K12</f>
        <v>1.4</v>
      </c>
    </row>
    <row r="47" spans="2:6">
      <c r="B47" s="1058" t="s">
        <v>1257</v>
      </c>
      <c r="C47" s="1059">
        <v>0</v>
      </c>
      <c r="D47" s="1059">
        <v>0.34</v>
      </c>
      <c r="E47" s="1059">
        <v>0</v>
      </c>
      <c r="F47" s="1059">
        <v>0.32</v>
      </c>
    </row>
    <row r="48" spans="2:6">
      <c r="B48" s="1058" t="s">
        <v>1258</v>
      </c>
      <c r="C48" s="1059">
        <v>0</v>
      </c>
      <c r="D48" s="1059">
        <f ca="1">+C49-SUM(D44:D47)</f>
        <v>3.3899999999999997</v>
      </c>
      <c r="E48" s="1059">
        <v>0</v>
      </c>
      <c r="F48" s="1059">
        <f>+E49-SUM(F44:F47)</f>
        <v>3.399999999999999</v>
      </c>
    </row>
    <row r="49" spans="2:7">
      <c r="B49" s="1061" t="s">
        <v>1256</v>
      </c>
      <c r="C49" s="1062">
        <f ca="1">+SUM(C44:C48)</f>
        <v>5.6585446192075821</v>
      </c>
      <c r="D49" s="1062">
        <f ca="1">+SUM(D44:D48)</f>
        <v>5.6585446192075821</v>
      </c>
      <c r="E49" s="1062">
        <f>+SUM(E44:E48)</f>
        <v>6.4765161708151897</v>
      </c>
      <c r="F49" s="1062">
        <f>+SUM(F44:F48)</f>
        <v>6.4765161708151897</v>
      </c>
    </row>
    <row r="50" spans="2:7">
      <c r="B50" s="1057"/>
      <c r="C50" s="1057"/>
      <c r="D50" s="1057"/>
      <c r="E50" s="1057"/>
      <c r="F50" s="1057"/>
    </row>
    <row r="51" spans="2:7">
      <c r="B51" s="1057"/>
      <c r="C51" s="1057"/>
      <c r="D51" s="1057"/>
      <c r="E51" s="1057"/>
      <c r="F51" s="1057"/>
    </row>
    <row r="54" spans="2:7" ht="15">
      <c r="B54" s="421"/>
      <c r="C54" s="432" t="s">
        <v>38</v>
      </c>
      <c r="D54" s="432" t="s">
        <v>146</v>
      </c>
      <c r="E54" s="432" t="s">
        <v>147</v>
      </c>
      <c r="F54" s="432" t="s">
        <v>148</v>
      </c>
      <c r="G54" s="432" t="s">
        <v>149</v>
      </c>
    </row>
    <row r="55" spans="2:7" ht="13.5">
      <c r="B55" s="421" t="s">
        <v>699</v>
      </c>
      <c r="C55" s="991">
        <f>+Backup!D191</f>
        <v>3.1513522875486002</v>
      </c>
      <c r="D55" s="991">
        <f>+C55*(1+2.97%)</f>
        <v>3.2449474504887936</v>
      </c>
      <c r="E55" s="991">
        <f t="shared" ref="E55:G55" si="4">+D55*(1+2.97%)</f>
        <v>3.3413223897683109</v>
      </c>
      <c r="F55" s="991">
        <f t="shared" si="4"/>
        <v>3.4405596647444301</v>
      </c>
      <c r="G55" s="991">
        <f t="shared" si="4"/>
        <v>3.54274428678734</v>
      </c>
    </row>
    <row r="56" spans="2:7" ht="13.5">
      <c r="B56" s="421" t="s">
        <v>1304</v>
      </c>
      <c r="C56" s="991">
        <f>+Backup!D193</f>
        <v>4.9338121000000008</v>
      </c>
      <c r="D56" s="991">
        <f>+Backup!E193</f>
        <v>5.1681853634281243</v>
      </c>
      <c r="E56" s="991">
        <f>+Backup!F193</f>
        <v>5.4136921733911771</v>
      </c>
      <c r="F56" s="991">
        <f>+Backup!G193</f>
        <v>5.6708614121372127</v>
      </c>
      <c r="G56" s="991">
        <f>+Backup!H193</f>
        <v>5.9402470856636151</v>
      </c>
    </row>
    <row r="57" spans="2:7" ht="13.5">
      <c r="B57" s="421" t="s">
        <v>1303</v>
      </c>
      <c r="C57" s="1202">
        <f>+Backup!D202</f>
        <v>4.9338121000000008</v>
      </c>
      <c r="D57" s="1202">
        <f>+Backup!E202</f>
        <v>5.1873491000000005</v>
      </c>
      <c r="E57" s="1202">
        <f>+Backup!F202</f>
        <v>5.4575609110937613</v>
      </c>
      <c r="F57" s="1202">
        <f>+Backup!G202</f>
        <v>6.1406313315957499</v>
      </c>
      <c r="G57" s="1202">
        <f>+Backup!H202</f>
        <v>6.8343033685328551</v>
      </c>
    </row>
  </sheetData>
  <mergeCells count="9">
    <mergeCell ref="C42:D42"/>
    <mergeCell ref="E42:F42"/>
    <mergeCell ref="C2:D2"/>
    <mergeCell ref="E2:F2"/>
    <mergeCell ref="G2:H2"/>
    <mergeCell ref="C8:D8"/>
    <mergeCell ref="E8:F8"/>
    <mergeCell ref="C17:D17"/>
    <mergeCell ref="E17:F17"/>
  </mergeCell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00B050"/>
  </sheetPr>
  <dimension ref="A1:N50"/>
  <sheetViews>
    <sheetView topLeftCell="A25" zoomScale="80" zoomScaleNormal="80" workbookViewId="0">
      <selection activeCell="V15" sqref="V15"/>
    </sheetView>
  </sheetViews>
  <sheetFormatPr defaultColWidth="9.140625" defaultRowHeight="16.5"/>
  <cols>
    <col min="1" max="1" width="9.85546875" style="962" customWidth="1"/>
    <col min="2" max="2" width="22.28515625" style="962" customWidth="1"/>
    <col min="3" max="3" width="13.85546875" style="962" customWidth="1"/>
    <col min="4" max="7" width="11.7109375" style="962" bestFit="1" customWidth="1"/>
    <col min="8" max="8" width="15.85546875" style="962" customWidth="1"/>
    <col min="9" max="9" width="16" style="962" bestFit="1" customWidth="1"/>
    <col min="10" max="11" width="13.28515625" style="962" customWidth="1"/>
    <col min="12" max="16384" width="9.140625" style="962"/>
  </cols>
  <sheetData>
    <row r="1" spans="1:13">
      <c r="A1" s="961"/>
    </row>
    <row r="2" spans="1:13">
      <c r="A2" s="963" t="s">
        <v>1131</v>
      </c>
    </row>
    <row r="4" spans="1:13">
      <c r="A4" s="964" t="s">
        <v>1095</v>
      </c>
      <c r="B4" s="965" t="s">
        <v>714</v>
      </c>
      <c r="C4" s="965" t="s">
        <v>715</v>
      </c>
      <c r="D4" s="965" t="s">
        <v>716</v>
      </c>
      <c r="E4" s="965" t="s">
        <v>38</v>
      </c>
      <c r="F4" s="965" t="s">
        <v>146</v>
      </c>
      <c r="G4" s="965" t="s">
        <v>147</v>
      </c>
    </row>
    <row r="5" spans="1:13">
      <c r="A5" s="966" t="s">
        <v>118</v>
      </c>
      <c r="B5" s="967">
        <v>104.7</v>
      </c>
      <c r="C5" s="967">
        <v>108.6</v>
      </c>
      <c r="D5" s="967">
        <v>114.1</v>
      </c>
      <c r="E5" s="967">
        <v>110.2</v>
      </c>
      <c r="F5" s="967">
        <v>109</v>
      </c>
      <c r="G5" s="966">
        <v>113.2</v>
      </c>
      <c r="I5" s="968"/>
      <c r="J5" s="968"/>
      <c r="K5" s="968"/>
      <c r="L5" s="968"/>
    </row>
    <row r="6" spans="1:13">
      <c r="A6" s="966" t="s">
        <v>119</v>
      </c>
      <c r="B6" s="967">
        <v>105.3</v>
      </c>
      <c r="C6" s="967">
        <v>108.6</v>
      </c>
      <c r="D6" s="967">
        <v>114.8</v>
      </c>
      <c r="E6" s="967">
        <v>111.4</v>
      </c>
      <c r="F6" s="967">
        <v>110.4</v>
      </c>
      <c r="G6" s="966">
        <v>112.9</v>
      </c>
      <c r="J6" s="969"/>
      <c r="K6" s="969"/>
      <c r="L6" s="969"/>
    </row>
    <row r="7" spans="1:13">
      <c r="A7" s="966" t="s">
        <v>120</v>
      </c>
      <c r="B7" s="967">
        <v>105.3</v>
      </c>
      <c r="C7" s="967">
        <v>110.1</v>
      </c>
      <c r="D7" s="967">
        <v>115.2</v>
      </c>
      <c r="E7" s="967">
        <v>111.8</v>
      </c>
      <c r="F7" s="967">
        <v>111.7</v>
      </c>
      <c r="G7" s="966">
        <v>112.7</v>
      </c>
      <c r="J7" s="969"/>
      <c r="K7" s="969"/>
      <c r="L7" s="969"/>
    </row>
    <row r="8" spans="1:13">
      <c r="A8" s="966" t="s">
        <v>121</v>
      </c>
      <c r="B8" s="967">
        <v>106.2</v>
      </c>
      <c r="C8" s="967">
        <v>111.2</v>
      </c>
      <c r="D8" s="967">
        <v>116.7</v>
      </c>
      <c r="E8" s="967">
        <v>111.1</v>
      </c>
      <c r="F8" s="967">
        <v>111.8</v>
      </c>
      <c r="G8" s="966">
        <v>113.9</v>
      </c>
      <c r="I8" s="968"/>
      <c r="J8" s="970"/>
      <c r="K8" s="970"/>
      <c r="L8" s="970"/>
    </row>
    <row r="9" spans="1:13">
      <c r="A9" s="966" t="s">
        <v>122</v>
      </c>
      <c r="B9" s="967">
        <v>106.9</v>
      </c>
      <c r="C9" s="967">
        <v>112.9</v>
      </c>
      <c r="D9" s="967">
        <v>117.2</v>
      </c>
      <c r="E9" s="967">
        <v>110</v>
      </c>
      <c r="F9" s="967">
        <v>111.2</v>
      </c>
      <c r="G9" s="966">
        <v>114.8</v>
      </c>
    </row>
    <row r="10" spans="1:13">
      <c r="A10" s="966" t="s">
        <v>123</v>
      </c>
      <c r="B10" s="967">
        <v>107.6</v>
      </c>
      <c r="C10" s="967">
        <v>114.3</v>
      </c>
      <c r="D10" s="967">
        <v>116.4</v>
      </c>
      <c r="E10" s="967">
        <v>109.9</v>
      </c>
      <c r="F10" s="967">
        <v>111.4</v>
      </c>
      <c r="G10" s="966">
        <v>114.3</v>
      </c>
      <c r="M10" s="971"/>
    </row>
    <row r="11" spans="1:13">
      <c r="A11" s="966" t="s">
        <v>124</v>
      </c>
      <c r="B11" s="967">
        <v>107.4</v>
      </c>
      <c r="C11" s="967">
        <v>114.6</v>
      </c>
      <c r="D11" s="967">
        <v>115.6</v>
      </c>
      <c r="E11" s="967">
        <v>110.1</v>
      </c>
      <c r="F11" s="967">
        <v>111.5</v>
      </c>
      <c r="G11" s="966">
        <v>115.5</v>
      </c>
    </row>
    <row r="12" spans="1:13">
      <c r="A12" s="966" t="s">
        <v>125</v>
      </c>
      <c r="B12" s="967">
        <v>107.3</v>
      </c>
      <c r="C12" s="967">
        <v>114.3</v>
      </c>
      <c r="D12" s="967">
        <v>114.1</v>
      </c>
      <c r="E12" s="967">
        <v>109.9</v>
      </c>
      <c r="F12" s="967">
        <v>111.9</v>
      </c>
      <c r="G12" s="966"/>
      <c r="M12" s="971"/>
    </row>
    <row r="13" spans="1:13">
      <c r="A13" s="966" t="s">
        <v>126</v>
      </c>
      <c r="B13" s="967">
        <v>107.1</v>
      </c>
      <c r="C13" s="967">
        <v>113.4</v>
      </c>
      <c r="D13" s="967">
        <v>112.1</v>
      </c>
      <c r="E13" s="967">
        <v>109.4</v>
      </c>
      <c r="F13" s="967">
        <v>111.7</v>
      </c>
      <c r="G13" s="966"/>
    </row>
    <row r="14" spans="1:13">
      <c r="A14" s="966" t="s">
        <v>127</v>
      </c>
      <c r="B14" s="967">
        <v>108</v>
      </c>
      <c r="C14" s="967">
        <v>113.6</v>
      </c>
      <c r="D14" s="967">
        <v>110.8</v>
      </c>
      <c r="E14" s="967">
        <v>108</v>
      </c>
      <c r="F14" s="967">
        <v>112.6</v>
      </c>
      <c r="G14" s="966"/>
    </row>
    <row r="15" spans="1:13">
      <c r="A15" s="966" t="s">
        <v>128</v>
      </c>
      <c r="B15" s="967">
        <v>108.4</v>
      </c>
      <c r="C15" s="967">
        <v>113.6</v>
      </c>
      <c r="D15" s="967">
        <v>109.6</v>
      </c>
      <c r="E15" s="967">
        <v>107.1</v>
      </c>
      <c r="F15" s="967">
        <v>113</v>
      </c>
      <c r="G15" s="966"/>
    </row>
    <row r="16" spans="1:13">
      <c r="A16" s="966" t="s">
        <v>129</v>
      </c>
      <c r="B16" s="967">
        <v>108.6</v>
      </c>
      <c r="C16" s="967">
        <v>114.3</v>
      </c>
      <c r="D16" s="967">
        <v>109.9</v>
      </c>
      <c r="E16" s="967">
        <v>107.7</v>
      </c>
      <c r="F16" s="967">
        <v>113.2</v>
      </c>
      <c r="G16" s="966"/>
    </row>
    <row r="17" spans="1:14">
      <c r="A17" s="972" t="s">
        <v>1132</v>
      </c>
      <c r="B17" s="973">
        <f t="shared" ref="B17:G17" si="0">AVERAGE(B5:B16)</f>
        <v>106.89999999999999</v>
      </c>
      <c r="C17" s="973">
        <f t="shared" si="0"/>
        <v>112.45833333333331</v>
      </c>
      <c r="D17" s="973">
        <f t="shared" si="0"/>
        <v>113.875</v>
      </c>
      <c r="E17" s="973">
        <f t="shared" si="0"/>
        <v>109.71666666666665</v>
      </c>
      <c r="F17" s="973">
        <f t="shared" si="0"/>
        <v>111.61666666666667</v>
      </c>
      <c r="G17" s="973">
        <f t="shared" si="0"/>
        <v>113.89999999999999</v>
      </c>
    </row>
    <row r="18" spans="1:14">
      <c r="A18" s="974" t="s">
        <v>1133</v>
      </c>
      <c r="B18" s="975">
        <f>+B17/100-1</f>
        <v>6.899999999999995E-2</v>
      </c>
      <c r="C18" s="975">
        <f>+C17/B17-1</f>
        <v>5.199563454942302E-2</v>
      </c>
      <c r="D18" s="975">
        <f>+D17/C17-1</f>
        <v>1.2597258243794096E-2</v>
      </c>
      <c r="E18" s="975">
        <f>+E17/D17-1</f>
        <v>-3.6516648371752725E-2</v>
      </c>
      <c r="F18" s="975">
        <f>+F17/E17-1</f>
        <v>1.7317332523165918E-2</v>
      </c>
      <c r="G18" s="975">
        <f>+G17/F17-1</f>
        <v>2.0456921009406992E-2</v>
      </c>
    </row>
    <row r="19" spans="1:14">
      <c r="B19" s="976"/>
      <c r="C19" s="976"/>
      <c r="D19" s="976"/>
      <c r="E19" s="976"/>
      <c r="F19" s="976">
        <f>+AVERAGE(F5:F11)</f>
        <v>111</v>
      </c>
      <c r="G19" s="975">
        <f>+G17/F19-1</f>
        <v>2.6126126126126081E-2</v>
      </c>
      <c r="M19" s="977"/>
      <c r="N19" s="977"/>
    </row>
    <row r="20" spans="1:14">
      <c r="A20" s="963" t="s">
        <v>1134</v>
      </c>
      <c r="I20" s="977"/>
    </row>
    <row r="21" spans="1:14">
      <c r="I21" s="977"/>
    </row>
    <row r="22" spans="1:14">
      <c r="A22" s="978" t="s">
        <v>1095</v>
      </c>
      <c r="B22" s="978" t="s">
        <v>1135</v>
      </c>
      <c r="C22" s="978" t="s">
        <v>1136</v>
      </c>
      <c r="D22" s="978" t="s">
        <v>713</v>
      </c>
      <c r="E22" s="978" t="s">
        <v>714</v>
      </c>
      <c r="F22" s="978" t="s">
        <v>715</v>
      </c>
      <c r="G22" s="978" t="s">
        <v>716</v>
      </c>
      <c r="H22" s="978" t="s">
        <v>38</v>
      </c>
      <c r="I22" s="978" t="s">
        <v>146</v>
      </c>
      <c r="J22" s="978" t="s">
        <v>147</v>
      </c>
    </row>
    <row r="23" spans="1:14">
      <c r="A23" s="979" t="s">
        <v>118</v>
      </c>
      <c r="B23" s="979">
        <v>150</v>
      </c>
      <c r="C23" s="979">
        <v>170</v>
      </c>
      <c r="D23" s="980">
        <v>186</v>
      </c>
      <c r="E23" s="980">
        <v>205</v>
      </c>
      <c r="F23" s="980">
        <v>226</v>
      </c>
      <c r="G23" s="980">
        <v>242</v>
      </c>
      <c r="H23" s="980">
        <v>256</v>
      </c>
      <c r="I23" s="980">
        <v>271</v>
      </c>
      <c r="J23" s="966">
        <v>277</v>
      </c>
    </row>
    <row r="24" spans="1:14">
      <c r="A24" s="979" t="s">
        <v>119</v>
      </c>
      <c r="B24" s="979">
        <v>151</v>
      </c>
      <c r="C24" s="979">
        <v>172</v>
      </c>
      <c r="D24" s="980">
        <v>187</v>
      </c>
      <c r="E24" s="980">
        <v>206</v>
      </c>
      <c r="F24" s="980">
        <v>228</v>
      </c>
      <c r="G24" s="980">
        <v>244</v>
      </c>
      <c r="H24" s="980">
        <v>258</v>
      </c>
      <c r="I24" s="980">
        <v>275</v>
      </c>
      <c r="J24" s="966">
        <v>278</v>
      </c>
    </row>
    <row r="25" spans="1:14">
      <c r="A25" s="979" t="s">
        <v>120</v>
      </c>
      <c r="B25" s="979">
        <v>153</v>
      </c>
      <c r="C25" s="979">
        <v>174</v>
      </c>
      <c r="D25" s="980">
        <v>189</v>
      </c>
      <c r="E25" s="980">
        <v>208</v>
      </c>
      <c r="F25" s="980">
        <v>231</v>
      </c>
      <c r="G25" s="980">
        <v>246</v>
      </c>
      <c r="H25" s="980">
        <v>261</v>
      </c>
      <c r="I25" s="980">
        <v>277</v>
      </c>
      <c r="J25" s="966">
        <v>280</v>
      </c>
    </row>
    <row r="26" spans="1:14">
      <c r="A26" s="979" t="s">
        <v>121</v>
      </c>
      <c r="B26" s="979">
        <v>160</v>
      </c>
      <c r="C26" s="979">
        <v>178</v>
      </c>
      <c r="D26" s="980">
        <v>193</v>
      </c>
      <c r="E26" s="980">
        <v>212</v>
      </c>
      <c r="F26" s="980">
        <v>235</v>
      </c>
      <c r="G26" s="980">
        <v>252</v>
      </c>
      <c r="H26" s="980">
        <v>263</v>
      </c>
      <c r="I26" s="980">
        <v>280</v>
      </c>
      <c r="J26" s="966">
        <v>285</v>
      </c>
    </row>
    <row r="27" spans="1:14">
      <c r="A27" s="979" t="s">
        <v>122</v>
      </c>
      <c r="B27" s="979">
        <v>162</v>
      </c>
      <c r="C27" s="979">
        <v>178</v>
      </c>
      <c r="D27" s="980">
        <v>194</v>
      </c>
      <c r="E27" s="980">
        <v>214</v>
      </c>
      <c r="F27" s="980">
        <v>237</v>
      </c>
      <c r="G27" s="980">
        <v>253</v>
      </c>
      <c r="H27" s="980">
        <v>264</v>
      </c>
      <c r="I27" s="980">
        <v>278</v>
      </c>
      <c r="J27" s="966">
        <v>285</v>
      </c>
    </row>
    <row r="28" spans="1:14">
      <c r="A28" s="979" t="s">
        <v>123</v>
      </c>
      <c r="B28" s="979">
        <v>163</v>
      </c>
      <c r="C28" s="979">
        <v>179</v>
      </c>
      <c r="D28" s="980">
        <v>197</v>
      </c>
      <c r="E28" s="980">
        <v>215</v>
      </c>
      <c r="F28" s="980">
        <v>238</v>
      </c>
      <c r="G28" s="980">
        <v>253</v>
      </c>
      <c r="H28" s="980">
        <v>266</v>
      </c>
      <c r="I28" s="980">
        <v>277</v>
      </c>
      <c r="J28" s="966">
        <v>285</v>
      </c>
    </row>
    <row r="29" spans="1:14">
      <c r="A29" s="979" t="s">
        <v>124</v>
      </c>
      <c r="B29" s="979">
        <v>165</v>
      </c>
      <c r="C29" s="979">
        <v>181</v>
      </c>
      <c r="D29" s="980">
        <v>198</v>
      </c>
      <c r="E29" s="980">
        <v>217</v>
      </c>
      <c r="F29" s="980">
        <v>241</v>
      </c>
      <c r="G29" s="980">
        <v>253</v>
      </c>
      <c r="H29" s="980">
        <v>269</v>
      </c>
      <c r="I29" s="980">
        <v>278</v>
      </c>
      <c r="J29" s="966">
        <v>287</v>
      </c>
    </row>
    <row r="30" spans="1:14">
      <c r="A30" s="979" t="s">
        <v>125</v>
      </c>
      <c r="B30" s="979">
        <v>168</v>
      </c>
      <c r="C30" s="979">
        <v>182</v>
      </c>
      <c r="D30" s="980">
        <v>199</v>
      </c>
      <c r="E30" s="980">
        <v>218</v>
      </c>
      <c r="F30" s="980">
        <v>243</v>
      </c>
      <c r="G30" s="980">
        <v>253</v>
      </c>
      <c r="H30" s="980">
        <v>270</v>
      </c>
      <c r="I30" s="980">
        <v>277</v>
      </c>
      <c r="J30" s="966"/>
    </row>
    <row r="31" spans="1:14">
      <c r="A31" s="979" t="s">
        <v>126</v>
      </c>
      <c r="B31" s="979">
        <v>169</v>
      </c>
      <c r="C31" s="979">
        <v>185</v>
      </c>
      <c r="D31" s="980">
        <v>197</v>
      </c>
      <c r="E31" s="980">
        <v>219</v>
      </c>
      <c r="F31" s="980">
        <v>239</v>
      </c>
      <c r="G31" s="980">
        <v>253</v>
      </c>
      <c r="H31" s="980">
        <v>269</v>
      </c>
      <c r="I31" s="980">
        <v>275</v>
      </c>
      <c r="J31" s="966"/>
      <c r="L31" s="1048"/>
    </row>
    <row r="32" spans="1:14">
      <c r="A32" s="979" t="s">
        <v>127</v>
      </c>
      <c r="B32" s="979">
        <v>172</v>
      </c>
      <c r="C32" s="979">
        <v>188</v>
      </c>
      <c r="D32" s="980">
        <v>198</v>
      </c>
      <c r="E32" s="980">
        <v>221</v>
      </c>
      <c r="F32" s="980">
        <v>237</v>
      </c>
      <c r="G32" s="980">
        <v>254</v>
      </c>
      <c r="H32" s="980">
        <v>269</v>
      </c>
      <c r="I32" s="980">
        <v>274</v>
      </c>
      <c r="J32" s="966"/>
    </row>
    <row r="33" spans="1:10">
      <c r="A33" s="979" t="s">
        <v>128</v>
      </c>
      <c r="B33" s="979">
        <v>170</v>
      </c>
      <c r="C33" s="979">
        <v>185</v>
      </c>
      <c r="D33" s="980">
        <v>199</v>
      </c>
      <c r="E33" s="980">
        <v>223</v>
      </c>
      <c r="F33" s="980">
        <v>238</v>
      </c>
      <c r="G33" s="980">
        <v>253</v>
      </c>
      <c r="H33" s="980">
        <v>267</v>
      </c>
      <c r="I33" s="980">
        <v>274</v>
      </c>
      <c r="J33" s="966"/>
    </row>
    <row r="34" spans="1:10">
      <c r="A34" s="979" t="s">
        <v>129</v>
      </c>
      <c r="B34" s="979">
        <v>170</v>
      </c>
      <c r="C34" s="979">
        <v>185</v>
      </c>
      <c r="D34" s="980">
        <v>201</v>
      </c>
      <c r="E34" s="980">
        <v>224</v>
      </c>
      <c r="F34" s="980">
        <v>239</v>
      </c>
      <c r="G34" s="980">
        <v>254</v>
      </c>
      <c r="H34" s="980">
        <v>268</v>
      </c>
      <c r="I34" s="980">
        <v>275</v>
      </c>
      <c r="J34" s="966"/>
    </row>
    <row r="35" spans="1:10">
      <c r="A35" s="981" t="s">
        <v>1132</v>
      </c>
      <c r="B35" s="982">
        <f t="shared" ref="B35:J35" si="1">AVERAGE(B23:B34)</f>
        <v>162.75</v>
      </c>
      <c r="C35" s="982">
        <f t="shared" si="1"/>
        <v>179.75</v>
      </c>
      <c r="D35" s="982">
        <f t="shared" si="1"/>
        <v>194.83333333333334</v>
      </c>
      <c r="E35" s="982">
        <f t="shared" si="1"/>
        <v>215.16666666666666</v>
      </c>
      <c r="F35" s="982">
        <f t="shared" si="1"/>
        <v>236</v>
      </c>
      <c r="G35" s="982">
        <f t="shared" si="1"/>
        <v>250.83333333333334</v>
      </c>
      <c r="H35" s="982">
        <f t="shared" si="1"/>
        <v>265</v>
      </c>
      <c r="I35" s="982">
        <f t="shared" si="1"/>
        <v>275.91666666666669</v>
      </c>
      <c r="J35" s="982">
        <f t="shared" si="1"/>
        <v>282.42857142857144</v>
      </c>
    </row>
    <row r="36" spans="1:10">
      <c r="A36" s="974" t="s">
        <v>1133</v>
      </c>
      <c r="B36" s="975"/>
      <c r="C36" s="975">
        <f t="shared" ref="C36:J36" si="2">+C35/B35-1</f>
        <v>0.10445468509984646</v>
      </c>
      <c r="D36" s="975">
        <f t="shared" si="2"/>
        <v>8.3912841910060321E-2</v>
      </c>
      <c r="E36" s="975">
        <f t="shared" si="2"/>
        <v>0.10436270316509821</v>
      </c>
      <c r="F36" s="975">
        <f t="shared" si="2"/>
        <v>9.6824167312161258E-2</v>
      </c>
      <c r="G36" s="975">
        <f t="shared" si="2"/>
        <v>6.2853107344632786E-2</v>
      </c>
      <c r="H36" s="975">
        <f t="shared" si="2"/>
        <v>5.6478405315614655E-2</v>
      </c>
      <c r="I36" s="975">
        <f t="shared" si="2"/>
        <v>4.1194968553459166E-2</v>
      </c>
      <c r="J36" s="975">
        <f t="shared" si="2"/>
        <v>2.3600983733873981E-2</v>
      </c>
    </row>
    <row r="37" spans="1:10">
      <c r="I37" s="982">
        <f>+AVERAGE(I23:I28)</f>
        <v>276.33333333333331</v>
      </c>
      <c r="J37" s="982">
        <f>+AVERAGE(J23:J28)</f>
        <v>281.66666666666669</v>
      </c>
    </row>
    <row r="38" spans="1:10">
      <c r="J38" s="975">
        <f>+J37/I37-1</f>
        <v>1.9300361881785522E-2</v>
      </c>
    </row>
    <row r="41" spans="1:10">
      <c r="B41" s="983" t="s">
        <v>1137</v>
      </c>
    </row>
    <row r="43" spans="1:10">
      <c r="B43" s="968" t="s">
        <v>1138</v>
      </c>
    </row>
    <row r="45" spans="1:10">
      <c r="B45" s="978"/>
      <c r="C45" s="978" t="s">
        <v>38</v>
      </c>
      <c r="D45" s="978" t="s">
        <v>146</v>
      </c>
      <c r="E45" s="978" t="s">
        <v>147</v>
      </c>
    </row>
    <row r="46" spans="1:10">
      <c r="B46" s="966" t="s">
        <v>1139</v>
      </c>
      <c r="C46" s="984">
        <f>+AVERAGE(D36:H36)</f>
        <v>8.0886245009513441E-2</v>
      </c>
      <c r="D46" s="984">
        <f>+AVERAGE(E36:I36)</f>
        <v>7.2342670338193221E-2</v>
      </c>
      <c r="E46" s="984">
        <f>+AVERAGE(E36:I36)</f>
        <v>7.2342670338193221E-2</v>
      </c>
    </row>
    <row r="47" spans="1:10">
      <c r="B47" s="966" t="s">
        <v>1140</v>
      </c>
      <c r="C47" s="984">
        <f>+AVERAGE(B18:E18)</f>
        <v>2.4269061105366085E-2</v>
      </c>
      <c r="D47" s="984">
        <f>+AVERAGE(B18:F18)</f>
        <v>2.2878715388926052E-2</v>
      </c>
      <c r="E47" s="984">
        <f>+AVERAGE(B18:F18)</f>
        <v>2.2878715388926052E-2</v>
      </c>
    </row>
    <row r="48" spans="1:10">
      <c r="B48" s="972" t="s">
        <v>1141</v>
      </c>
      <c r="C48" s="985">
        <f>+(C46*70%)+(C47*30%)</f>
        <v>6.3901089838269226E-2</v>
      </c>
      <c r="D48" s="985">
        <f t="shared" ref="D48" si="3">+(D46*70%)+(D47*30%)</f>
        <v>5.750348385341307E-2</v>
      </c>
      <c r="E48" s="985">
        <f t="shared" ref="E48" si="4">+(E46*70%)+(E47*30%)</f>
        <v>5.750348385341307E-2</v>
      </c>
    </row>
    <row r="49" spans="2:5">
      <c r="B49" s="986" t="s">
        <v>1142</v>
      </c>
      <c r="C49" s="987">
        <v>0.01</v>
      </c>
      <c r="D49" s="987">
        <v>0.01</v>
      </c>
      <c r="E49" s="987">
        <v>0.01</v>
      </c>
    </row>
    <row r="50" spans="2:5">
      <c r="B50" s="972" t="s">
        <v>1143</v>
      </c>
      <c r="C50" s="985">
        <f>+C48-C49</f>
        <v>5.3901089838269224E-2</v>
      </c>
      <c r="D50" s="985">
        <f>+D48-D49</f>
        <v>4.7503483853413069E-2</v>
      </c>
      <c r="E50" s="985">
        <f>+E48-E49</f>
        <v>4.7503483853413069E-2</v>
      </c>
    </row>
  </sheetData>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C00000"/>
    <pageSetUpPr fitToPage="1"/>
  </sheetPr>
  <dimension ref="A2:O94"/>
  <sheetViews>
    <sheetView showGridLines="0" zoomScale="70" zoomScaleNormal="70" zoomScaleSheetLayoutView="70" workbookViewId="0">
      <pane xSplit="1" ySplit="8" topLeftCell="B61" activePane="bottomRight" state="frozen"/>
      <selection activeCell="C17" sqref="C17"/>
      <selection pane="topRight" activeCell="C17" sqref="C17"/>
      <selection pane="bottomLeft" activeCell="C17" sqref="C17"/>
      <selection pane="bottomRight" activeCell="C17" sqref="C17"/>
    </sheetView>
  </sheetViews>
  <sheetFormatPr defaultColWidth="9.140625" defaultRowHeight="15.75"/>
  <cols>
    <col min="1" max="1" width="58.85546875" style="596" customWidth="1"/>
    <col min="2" max="2" width="19.28515625" style="595" customWidth="1"/>
    <col min="3" max="3" width="16.5703125" style="595" customWidth="1"/>
    <col min="4" max="4" width="16.28515625" style="595" customWidth="1"/>
    <col min="5" max="5" width="15.140625" style="595" customWidth="1"/>
    <col min="6" max="6" width="18.85546875" style="595" customWidth="1"/>
    <col min="7" max="8" width="15.85546875" style="595" customWidth="1"/>
    <col min="9" max="9" width="13.42578125" style="595" customWidth="1"/>
    <col min="10" max="10" width="13" style="595" customWidth="1"/>
    <col min="11" max="11" width="13.5703125" style="595" customWidth="1"/>
    <col min="12" max="12" width="13.140625" style="595" customWidth="1"/>
    <col min="13" max="13" width="22.42578125" style="595" customWidth="1"/>
    <col min="14" max="14" width="20.28515625" style="595" customWidth="1"/>
    <col min="15" max="15" width="16.85546875" style="595" customWidth="1"/>
    <col min="16" max="16384" width="9.140625" style="595"/>
  </cols>
  <sheetData>
    <row r="2" spans="1:15">
      <c r="A2" s="1346" t="s">
        <v>906</v>
      </c>
      <c r="B2" s="1347"/>
      <c r="C2" s="1347"/>
    </row>
    <row r="3" spans="1:15">
      <c r="A3" s="1348" t="s">
        <v>907</v>
      </c>
      <c r="B3" s="1349"/>
      <c r="C3" s="1349"/>
    </row>
    <row r="4" spans="1:15" ht="16.5" customHeight="1" thickBot="1"/>
    <row r="5" spans="1:15" ht="16.5" thickBot="1">
      <c r="A5" s="1565" t="s">
        <v>908</v>
      </c>
      <c r="B5" s="1566"/>
      <c r="C5" s="1566"/>
      <c r="D5" s="1567"/>
    </row>
    <row r="7" spans="1:15">
      <c r="A7" s="1569" t="s">
        <v>49</v>
      </c>
      <c r="B7" s="1569" t="s">
        <v>909</v>
      </c>
      <c r="C7" s="1569" t="s">
        <v>1013</v>
      </c>
      <c r="D7" s="1569"/>
      <c r="E7" s="1569"/>
      <c r="F7" s="1569"/>
      <c r="G7" s="1569"/>
      <c r="H7" s="1568" t="s">
        <v>1181</v>
      </c>
      <c r="I7" s="1568"/>
      <c r="J7" s="1568"/>
      <c r="K7" s="1568"/>
      <c r="L7" s="1568"/>
    </row>
    <row r="8" spans="1:15" s="837" customFormat="1">
      <c r="A8" s="1569"/>
      <c r="B8" s="1569"/>
      <c r="C8" s="597" t="s">
        <v>38</v>
      </c>
      <c r="D8" s="597" t="s">
        <v>146</v>
      </c>
      <c r="E8" s="835" t="s">
        <v>147</v>
      </c>
      <c r="F8" s="597" t="s">
        <v>148</v>
      </c>
      <c r="G8" s="597" t="s">
        <v>149</v>
      </c>
      <c r="H8" s="705" t="s">
        <v>38</v>
      </c>
      <c r="I8" s="705" t="s">
        <v>146</v>
      </c>
      <c r="J8" s="836" t="s">
        <v>147</v>
      </c>
      <c r="K8" s="705" t="s">
        <v>148</v>
      </c>
      <c r="L8" s="705" t="s">
        <v>149</v>
      </c>
      <c r="M8" s="837" t="s">
        <v>987</v>
      </c>
      <c r="N8" s="837" t="s">
        <v>996</v>
      </c>
      <c r="O8" s="837" t="s">
        <v>995</v>
      </c>
    </row>
    <row r="9" spans="1:15">
      <c r="A9" s="598" t="s">
        <v>910</v>
      </c>
      <c r="B9" s="599"/>
      <c r="C9" s="599"/>
      <c r="D9" s="599"/>
      <c r="E9" s="599"/>
      <c r="F9" s="599"/>
      <c r="G9" s="599"/>
      <c r="H9" s="609"/>
      <c r="I9" s="609"/>
      <c r="J9" s="609"/>
      <c r="K9" s="609"/>
      <c r="L9" s="609"/>
      <c r="M9" s="595" t="s">
        <v>988</v>
      </c>
      <c r="N9" s="706">
        <v>3.3399999999999999E-2</v>
      </c>
      <c r="O9" s="706">
        <f>N9</f>
        <v>3.3399999999999999E-2</v>
      </c>
    </row>
    <row r="10" spans="1:15">
      <c r="A10" s="600" t="s">
        <v>229</v>
      </c>
      <c r="B10" s="601" t="s">
        <v>644</v>
      </c>
      <c r="C10" s="602">
        <v>0</v>
      </c>
      <c r="D10" s="602">
        <v>0</v>
      </c>
      <c r="E10" s="602">
        <v>0</v>
      </c>
      <c r="F10" s="602">
        <v>0</v>
      </c>
      <c r="G10" s="602">
        <v>0</v>
      </c>
      <c r="H10" s="609"/>
      <c r="I10" s="609"/>
      <c r="J10" s="609"/>
      <c r="K10" s="609"/>
      <c r="L10" s="609"/>
      <c r="M10" s="595" t="s">
        <v>989</v>
      </c>
      <c r="N10" s="706">
        <v>3.3399999999999999E-2</v>
      </c>
      <c r="O10" s="706">
        <f t="shared" ref="O10:O11" si="0">N10</f>
        <v>3.3399999999999999E-2</v>
      </c>
    </row>
    <row r="11" spans="1:15">
      <c r="A11" s="600" t="s">
        <v>911</v>
      </c>
      <c r="B11" s="601" t="s">
        <v>644</v>
      </c>
      <c r="C11" s="602">
        <v>0</v>
      </c>
      <c r="D11" s="602">
        <v>0</v>
      </c>
      <c r="E11" s="602">
        <v>0</v>
      </c>
      <c r="F11" s="602">
        <v>0</v>
      </c>
      <c r="G11" s="602">
        <v>0</v>
      </c>
      <c r="H11" s="609"/>
      <c r="I11" s="609"/>
      <c r="J11" s="609"/>
      <c r="K11" s="609"/>
      <c r="L11" s="609"/>
      <c r="M11" s="595" t="s">
        <v>990</v>
      </c>
      <c r="N11" s="706">
        <v>5.28E-2</v>
      </c>
      <c r="O11" s="706">
        <f t="shared" si="0"/>
        <v>5.28E-2</v>
      </c>
    </row>
    <row r="12" spans="1:15">
      <c r="A12" s="600" t="s">
        <v>230</v>
      </c>
      <c r="B12" s="601" t="s">
        <v>644</v>
      </c>
      <c r="C12" s="602">
        <v>0</v>
      </c>
      <c r="D12" s="602">
        <v>0</v>
      </c>
      <c r="E12" s="602">
        <v>0</v>
      </c>
      <c r="F12" s="602">
        <v>0</v>
      </c>
      <c r="G12" s="602">
        <v>0</v>
      </c>
      <c r="H12" s="609"/>
      <c r="I12" s="609"/>
      <c r="J12" s="609"/>
      <c r="K12" s="609"/>
      <c r="L12" s="609"/>
      <c r="M12" s="595" t="s">
        <v>952</v>
      </c>
      <c r="N12" s="712">
        <v>0.15</v>
      </c>
      <c r="O12" s="706">
        <f>N12</f>
        <v>0.15</v>
      </c>
    </row>
    <row r="13" spans="1:15">
      <c r="A13" s="600" t="s">
        <v>74</v>
      </c>
      <c r="B13" s="601" t="s">
        <v>644</v>
      </c>
      <c r="C13" s="602">
        <v>0.65</v>
      </c>
      <c r="D13" s="602">
        <v>0.65</v>
      </c>
      <c r="E13" s="602">
        <v>0.65</v>
      </c>
      <c r="F13" s="602">
        <v>0.65</v>
      </c>
      <c r="G13" s="602">
        <v>0.65</v>
      </c>
      <c r="H13" s="609"/>
      <c r="I13" s="609"/>
      <c r="J13" s="609"/>
      <c r="K13" s="609"/>
      <c r="L13" s="609"/>
      <c r="M13" s="595" t="s">
        <v>991</v>
      </c>
      <c r="N13" s="706">
        <v>6.3299999999999995E-2</v>
      </c>
      <c r="O13" s="706">
        <f>N13</f>
        <v>6.3299999999999995E-2</v>
      </c>
    </row>
    <row r="14" spans="1:15">
      <c r="A14" s="600" t="s">
        <v>912</v>
      </c>
      <c r="B14" s="601" t="s">
        <v>644</v>
      </c>
      <c r="C14" s="603">
        <f>+$B$91</f>
        <v>0.96824686999999998</v>
      </c>
      <c r="D14" s="603"/>
      <c r="E14" s="603"/>
      <c r="F14" s="603"/>
      <c r="G14" s="603"/>
      <c r="H14" s="609"/>
      <c r="I14" s="609"/>
      <c r="J14" s="609"/>
      <c r="K14" s="609"/>
      <c r="L14" s="609"/>
      <c r="M14" s="595" t="s">
        <v>992</v>
      </c>
      <c r="N14" s="712">
        <v>0.3</v>
      </c>
      <c r="O14" s="706">
        <v>5.28E-2</v>
      </c>
    </row>
    <row r="15" spans="1:15">
      <c r="A15" s="600" t="s">
        <v>913</v>
      </c>
      <c r="B15" s="601" t="s">
        <v>644</v>
      </c>
      <c r="C15" s="603">
        <f>+$B$91</f>
        <v>0.96824686999999998</v>
      </c>
      <c r="D15" s="603"/>
      <c r="E15" s="603"/>
      <c r="F15" s="603"/>
      <c r="G15" s="603"/>
      <c r="H15" s="609"/>
      <c r="I15" s="609"/>
      <c r="J15" s="609"/>
      <c r="K15" s="609"/>
      <c r="L15" s="609"/>
    </row>
    <row r="16" spans="1:15">
      <c r="A16" s="600" t="s">
        <v>75</v>
      </c>
      <c r="B16" s="601" t="s">
        <v>644</v>
      </c>
      <c r="C16" s="603">
        <v>0.1</v>
      </c>
      <c r="D16" s="603">
        <v>0.1</v>
      </c>
      <c r="E16" s="603">
        <v>0.1</v>
      </c>
      <c r="F16" s="603">
        <v>0.1</v>
      </c>
      <c r="G16" s="603">
        <v>0.1</v>
      </c>
      <c r="H16" s="609"/>
      <c r="I16" s="609"/>
      <c r="J16" s="609"/>
      <c r="K16" s="609"/>
      <c r="L16" s="609"/>
    </row>
    <row r="17" spans="1:12">
      <c r="A17" s="600" t="s">
        <v>914</v>
      </c>
      <c r="B17" s="601" t="s">
        <v>644</v>
      </c>
      <c r="C17" s="603">
        <v>0.1</v>
      </c>
      <c r="D17" s="603">
        <v>0.1</v>
      </c>
      <c r="E17" s="603">
        <v>0.1</v>
      </c>
      <c r="F17" s="603">
        <v>0.1</v>
      </c>
      <c r="G17" s="603">
        <v>0.1</v>
      </c>
      <c r="H17" s="609"/>
      <c r="I17" s="609"/>
      <c r="J17" s="609"/>
      <c r="K17" s="609"/>
      <c r="L17" s="609"/>
    </row>
    <row r="18" spans="1:12">
      <c r="A18" s="600" t="s">
        <v>915</v>
      </c>
      <c r="B18" s="601" t="s">
        <v>644</v>
      </c>
      <c r="C18" s="603">
        <v>0.1</v>
      </c>
      <c r="D18" s="603">
        <v>0.1</v>
      </c>
      <c r="E18" s="603">
        <v>0.1</v>
      </c>
      <c r="F18" s="603">
        <v>0.1</v>
      </c>
      <c r="G18" s="603">
        <v>0.1</v>
      </c>
      <c r="H18" s="609"/>
      <c r="I18" s="609"/>
      <c r="J18" s="609"/>
      <c r="K18" s="609"/>
      <c r="L18" s="609"/>
    </row>
    <row r="19" spans="1:12">
      <c r="A19" s="600" t="s">
        <v>76</v>
      </c>
      <c r="B19" s="601" t="s">
        <v>644</v>
      </c>
      <c r="C19" s="603">
        <v>0.9</v>
      </c>
      <c r="D19" s="603">
        <v>0.9</v>
      </c>
      <c r="E19" s="603">
        <v>0.9</v>
      </c>
      <c r="F19" s="603">
        <v>0.9</v>
      </c>
      <c r="G19" s="603">
        <v>0.9</v>
      </c>
      <c r="H19" s="609"/>
      <c r="I19" s="609"/>
      <c r="J19" s="609"/>
      <c r="K19" s="609"/>
      <c r="L19" s="609"/>
    </row>
    <row r="20" spans="1:12">
      <c r="A20" s="600" t="s">
        <v>506</v>
      </c>
      <c r="B20" s="601" t="s">
        <v>644</v>
      </c>
      <c r="C20" s="603">
        <v>0.9</v>
      </c>
      <c r="D20" s="603">
        <v>0.9</v>
      </c>
      <c r="E20" s="603">
        <v>0.9</v>
      </c>
      <c r="F20" s="603">
        <v>0.9</v>
      </c>
      <c r="G20" s="603">
        <v>0.9</v>
      </c>
      <c r="H20" s="609"/>
      <c r="I20" s="609"/>
      <c r="J20" s="609"/>
      <c r="K20" s="609"/>
      <c r="L20" s="609"/>
    </row>
    <row r="21" spans="1:12">
      <c r="A21" s="600" t="s">
        <v>916</v>
      </c>
      <c r="B21" s="601" t="s">
        <v>644</v>
      </c>
      <c r="C21" s="603">
        <f>+$B$91</f>
        <v>0.96824686999999998</v>
      </c>
      <c r="D21" s="603"/>
      <c r="E21" s="603"/>
      <c r="F21" s="603"/>
      <c r="G21" s="603"/>
      <c r="H21" s="609"/>
      <c r="I21" s="609"/>
      <c r="J21" s="609"/>
      <c r="K21" s="609"/>
      <c r="L21" s="609"/>
    </row>
    <row r="22" spans="1:12">
      <c r="A22" s="600" t="s">
        <v>143</v>
      </c>
      <c r="B22" s="601" t="s">
        <v>644</v>
      </c>
      <c r="C22" s="602">
        <v>0.1</v>
      </c>
      <c r="D22" s="602">
        <v>0.1</v>
      </c>
      <c r="E22" s="602">
        <v>0.1</v>
      </c>
      <c r="F22" s="602">
        <v>0.1</v>
      </c>
      <c r="G22" s="602">
        <v>0.1</v>
      </c>
      <c r="H22" s="609"/>
      <c r="I22" s="609"/>
      <c r="J22" s="609"/>
      <c r="K22" s="609"/>
      <c r="L22" s="609"/>
    </row>
    <row r="23" spans="1:12">
      <c r="A23" s="604" t="s">
        <v>917</v>
      </c>
      <c r="B23" s="599"/>
      <c r="C23" s="599"/>
      <c r="D23" s="599"/>
      <c r="E23" s="599"/>
      <c r="F23" s="599"/>
      <c r="G23" s="599"/>
      <c r="H23" s="609"/>
      <c r="I23" s="609"/>
      <c r="J23" s="609"/>
      <c r="K23" s="609"/>
      <c r="L23" s="609"/>
    </row>
    <row r="24" spans="1:12">
      <c r="A24" s="598"/>
      <c r="B24" s="599"/>
      <c r="C24" s="599"/>
      <c r="D24" s="599"/>
      <c r="E24" s="599"/>
      <c r="F24" s="599"/>
      <c r="G24" s="599"/>
      <c r="H24" s="609"/>
      <c r="I24" s="609"/>
      <c r="J24" s="609"/>
      <c r="K24" s="609"/>
      <c r="L24" s="609"/>
    </row>
    <row r="25" spans="1:12">
      <c r="A25" s="598"/>
      <c r="B25" s="599"/>
      <c r="C25" s="599"/>
      <c r="D25" s="599"/>
      <c r="E25" s="599"/>
      <c r="F25" s="599"/>
      <c r="G25" s="599"/>
      <c r="H25" s="609"/>
      <c r="I25" s="609"/>
      <c r="J25" s="609"/>
      <c r="K25" s="609"/>
      <c r="L25" s="609"/>
    </row>
    <row r="26" spans="1:12">
      <c r="A26" s="605" t="s">
        <v>1012</v>
      </c>
      <c r="B26" s="606"/>
      <c r="C26" s="607"/>
      <c r="D26" s="607"/>
      <c r="E26" s="608"/>
      <c r="F26" s="608"/>
      <c r="G26" s="609"/>
      <c r="H26" s="609" t="s">
        <v>997</v>
      </c>
      <c r="I26" s="609"/>
      <c r="J26" s="609"/>
      <c r="K26" s="609"/>
      <c r="L26" s="609"/>
    </row>
    <row r="27" spans="1:12">
      <c r="A27" s="610" t="s">
        <v>9</v>
      </c>
      <c r="B27" s="606" t="s">
        <v>644</v>
      </c>
      <c r="C27" s="611">
        <v>0.7</v>
      </c>
      <c r="D27" s="611">
        <v>0.7</v>
      </c>
      <c r="E27" s="611">
        <v>0.7</v>
      </c>
      <c r="F27" s="611">
        <v>0.7</v>
      </c>
      <c r="G27" s="611">
        <v>0.7</v>
      </c>
      <c r="H27" s="838">
        <f>H91*G27</f>
        <v>0</v>
      </c>
      <c r="I27" s="609"/>
      <c r="J27" s="609"/>
      <c r="K27" s="609"/>
      <c r="L27" s="609"/>
    </row>
    <row r="28" spans="1:12">
      <c r="A28" s="610" t="s">
        <v>8</v>
      </c>
      <c r="B28" s="606" t="s">
        <v>644</v>
      </c>
      <c r="C28" s="611">
        <v>0.3</v>
      </c>
      <c r="D28" s="611">
        <v>0.3</v>
      </c>
      <c r="E28" s="611">
        <v>0.3</v>
      </c>
      <c r="F28" s="611">
        <v>0.3</v>
      </c>
      <c r="G28" s="611">
        <v>0.3</v>
      </c>
      <c r="H28" s="838">
        <f>H91-H27</f>
        <v>0</v>
      </c>
      <c r="I28" s="609"/>
      <c r="J28" s="609"/>
      <c r="K28" s="609"/>
      <c r="L28" s="609"/>
    </row>
    <row r="29" spans="1:12">
      <c r="A29" s="610"/>
      <c r="B29" s="612"/>
      <c r="C29" s="612"/>
      <c r="D29" s="612"/>
      <c r="E29" s="608"/>
      <c r="F29" s="613"/>
      <c r="G29" s="614"/>
      <c r="H29" s="609" t="s">
        <v>947</v>
      </c>
      <c r="I29" s="609"/>
      <c r="J29" s="609"/>
      <c r="K29" s="609"/>
      <c r="L29" s="609"/>
    </row>
    <row r="30" spans="1:12">
      <c r="A30" s="615" t="s">
        <v>918</v>
      </c>
      <c r="B30" s="612"/>
      <c r="C30" s="612"/>
      <c r="D30" s="612"/>
      <c r="E30" s="608"/>
      <c r="F30" s="613"/>
      <c r="G30" s="614"/>
      <c r="H30" s="838">
        <f>H92*G27</f>
        <v>0</v>
      </c>
      <c r="I30" s="609"/>
      <c r="J30" s="609"/>
      <c r="K30" s="609"/>
      <c r="L30" s="609"/>
    </row>
    <row r="31" spans="1:12">
      <c r="A31" s="616" t="s">
        <v>919</v>
      </c>
      <c r="B31" s="612" t="s">
        <v>644</v>
      </c>
      <c r="C31" s="617">
        <v>5.28E-2</v>
      </c>
      <c r="D31" s="617">
        <v>5.28E-2</v>
      </c>
      <c r="E31" s="617">
        <v>5.28E-2</v>
      </c>
      <c r="F31" s="617">
        <v>5.28E-2</v>
      </c>
      <c r="G31" s="617">
        <v>5.28E-2</v>
      </c>
      <c r="H31" s="838">
        <f>H92-H30</f>
        <v>0</v>
      </c>
      <c r="I31" s="609"/>
      <c r="J31" s="609"/>
      <c r="K31" s="609"/>
      <c r="L31" s="609"/>
    </row>
    <row r="32" spans="1:12">
      <c r="A32" s="616"/>
      <c r="B32" s="612"/>
      <c r="C32" s="617"/>
      <c r="D32" s="617"/>
      <c r="E32" s="608"/>
      <c r="F32" s="613"/>
      <c r="G32" s="614"/>
      <c r="H32" s="609"/>
      <c r="I32" s="609"/>
      <c r="J32" s="609"/>
      <c r="K32" s="609"/>
      <c r="L32" s="609"/>
    </row>
    <row r="33" spans="1:12">
      <c r="A33" s="618" t="s">
        <v>1014</v>
      </c>
      <c r="B33" s="612"/>
      <c r="C33" s="617"/>
      <c r="D33" s="617"/>
      <c r="E33" s="608"/>
      <c r="F33" s="613"/>
      <c r="G33" s="614"/>
      <c r="H33" s="609"/>
      <c r="I33" s="609"/>
      <c r="J33" s="609"/>
      <c r="K33" s="609"/>
      <c r="L33" s="609"/>
    </row>
    <row r="34" spans="1:12">
      <c r="A34" s="609" t="s">
        <v>988</v>
      </c>
      <c r="B34" s="612"/>
      <c r="C34" s="617">
        <v>3.3399999999999999E-2</v>
      </c>
      <c r="D34" s="617">
        <v>3.3399999999999999E-2</v>
      </c>
      <c r="E34" s="707">
        <f>+D34</f>
        <v>3.3399999999999999E-2</v>
      </c>
      <c r="F34" s="707">
        <f t="shared" ref="F34:G34" si="1">+E34</f>
        <v>3.3399999999999999E-2</v>
      </c>
      <c r="G34" s="707">
        <f t="shared" si="1"/>
        <v>3.3399999999999999E-2</v>
      </c>
      <c r="H34" s="609"/>
      <c r="I34" s="609"/>
      <c r="J34" s="609"/>
      <c r="K34" s="609"/>
      <c r="L34" s="609"/>
    </row>
    <row r="35" spans="1:12">
      <c r="A35" s="609" t="s">
        <v>989</v>
      </c>
      <c r="B35" s="612"/>
      <c r="C35" s="617">
        <v>3.3399999999999999E-2</v>
      </c>
      <c r="D35" s="617">
        <v>3.3399999999999999E-2</v>
      </c>
      <c r="E35" s="707">
        <f t="shared" ref="E35:G35" si="2">+D35</f>
        <v>3.3399999999999999E-2</v>
      </c>
      <c r="F35" s="707">
        <f t="shared" si="2"/>
        <v>3.3399999999999999E-2</v>
      </c>
      <c r="G35" s="707">
        <f t="shared" si="2"/>
        <v>3.3399999999999999E-2</v>
      </c>
      <c r="H35" s="609"/>
      <c r="I35" s="609"/>
      <c r="J35" s="609"/>
      <c r="K35" s="609"/>
      <c r="L35" s="609"/>
    </row>
    <row r="36" spans="1:12">
      <c r="A36" s="609" t="s">
        <v>990</v>
      </c>
      <c r="B36" s="612"/>
      <c r="C36" s="617">
        <v>5.28E-2</v>
      </c>
      <c r="D36" s="617">
        <v>5.28E-2</v>
      </c>
      <c r="E36" s="707">
        <f t="shared" ref="E36:G36" si="3">+D36</f>
        <v>5.28E-2</v>
      </c>
      <c r="F36" s="707">
        <f t="shared" si="3"/>
        <v>5.28E-2</v>
      </c>
      <c r="G36" s="707">
        <f t="shared" si="3"/>
        <v>5.28E-2</v>
      </c>
      <c r="H36" s="609"/>
      <c r="I36" s="609"/>
      <c r="J36" s="609"/>
      <c r="K36" s="609"/>
      <c r="L36" s="609"/>
    </row>
    <row r="37" spans="1:12">
      <c r="A37" s="609" t="s">
        <v>952</v>
      </c>
      <c r="B37" s="612"/>
      <c r="C37" s="617">
        <v>0.15</v>
      </c>
      <c r="D37" s="617">
        <v>0.15</v>
      </c>
      <c r="E37" s="707">
        <f t="shared" ref="E37:G37" si="4">+D37</f>
        <v>0.15</v>
      </c>
      <c r="F37" s="707">
        <f t="shared" si="4"/>
        <v>0.15</v>
      </c>
      <c r="G37" s="707">
        <f t="shared" si="4"/>
        <v>0.15</v>
      </c>
      <c r="H37" s="609"/>
      <c r="I37" s="609"/>
      <c r="J37" s="609"/>
      <c r="K37" s="609"/>
      <c r="L37" s="609"/>
    </row>
    <row r="38" spans="1:12">
      <c r="A38" s="609" t="s">
        <v>991</v>
      </c>
      <c r="B38" s="612"/>
      <c r="C38" s="617">
        <v>6.3299999999999995E-2</v>
      </c>
      <c r="D38" s="617">
        <v>6.3299999999999995E-2</v>
      </c>
      <c r="E38" s="707">
        <f t="shared" ref="E38:G38" si="5">+D38</f>
        <v>6.3299999999999995E-2</v>
      </c>
      <c r="F38" s="707">
        <f t="shared" si="5"/>
        <v>6.3299999999999995E-2</v>
      </c>
      <c r="G38" s="707">
        <f t="shared" si="5"/>
        <v>6.3299999999999995E-2</v>
      </c>
      <c r="H38" s="609"/>
      <c r="I38" s="609"/>
      <c r="J38" s="609"/>
      <c r="K38" s="609"/>
      <c r="L38" s="609"/>
    </row>
    <row r="39" spans="1:12">
      <c r="A39" s="609" t="s">
        <v>992</v>
      </c>
      <c r="B39" s="612"/>
      <c r="C39" s="617">
        <v>5.28E-2</v>
      </c>
      <c r="D39" s="617">
        <v>0.3</v>
      </c>
      <c r="E39" s="707">
        <f t="shared" ref="E39:G39" si="6">+D39</f>
        <v>0.3</v>
      </c>
      <c r="F39" s="707">
        <f t="shared" si="6"/>
        <v>0.3</v>
      </c>
      <c r="G39" s="707">
        <f t="shared" si="6"/>
        <v>0.3</v>
      </c>
      <c r="H39" s="609"/>
      <c r="I39" s="609"/>
      <c r="J39" s="609"/>
      <c r="K39" s="609"/>
      <c r="L39" s="609"/>
    </row>
    <row r="40" spans="1:12">
      <c r="A40" s="616"/>
      <c r="B40" s="612"/>
      <c r="C40" s="617"/>
      <c r="D40" s="617"/>
      <c r="E40" s="608"/>
      <c r="F40" s="613"/>
      <c r="G40" s="614"/>
      <c r="H40" s="609"/>
      <c r="I40" s="609"/>
      <c r="J40" s="609"/>
      <c r="K40" s="609"/>
      <c r="L40" s="609"/>
    </row>
    <row r="41" spans="1:12">
      <c r="A41" s="618" t="s">
        <v>920</v>
      </c>
      <c r="B41" s="612"/>
      <c r="C41" s="612"/>
      <c r="D41" s="612"/>
      <c r="E41" s="608"/>
      <c r="F41" s="613"/>
      <c r="G41" s="614"/>
      <c r="H41" s="609"/>
      <c r="I41" s="609"/>
      <c r="J41" s="609"/>
      <c r="K41" s="609"/>
      <c r="L41" s="609"/>
    </row>
    <row r="42" spans="1:12">
      <c r="A42" s="610" t="s">
        <v>921</v>
      </c>
      <c r="B42" s="612" t="s">
        <v>644</v>
      </c>
      <c r="C42" s="617">
        <v>0.1115</v>
      </c>
      <c r="D42" s="617">
        <v>0.109</v>
      </c>
      <c r="E42" s="617">
        <v>0.109</v>
      </c>
      <c r="F42" s="617">
        <v>0.109</v>
      </c>
      <c r="G42" s="617">
        <v>0.109</v>
      </c>
      <c r="H42" s="609"/>
      <c r="I42" s="609"/>
      <c r="J42" s="609"/>
      <c r="K42" s="609"/>
      <c r="L42" s="609"/>
    </row>
    <row r="43" spans="1:12">
      <c r="A43" s="610" t="s">
        <v>922</v>
      </c>
      <c r="B43" s="606" t="s">
        <v>644</v>
      </c>
      <c r="C43" s="619">
        <v>0.14050000000000001</v>
      </c>
      <c r="D43" s="1021">
        <f>9.2877%+1.5%</f>
        <v>0.10787699999999999</v>
      </c>
      <c r="E43" s="1021">
        <f>8.6676%+1.5%</f>
        <v>0.101676</v>
      </c>
      <c r="F43" s="1021">
        <f>7.95%+1.5%</f>
        <v>9.4500000000000001E-2</v>
      </c>
      <c r="G43" s="1021">
        <f>+F43</f>
        <v>9.4500000000000001E-2</v>
      </c>
      <c r="H43" s="609"/>
      <c r="I43" s="609"/>
      <c r="J43" s="609"/>
      <c r="K43" s="609"/>
      <c r="L43" s="609"/>
    </row>
    <row r="44" spans="1:12">
      <c r="A44" s="610" t="s">
        <v>923</v>
      </c>
      <c r="B44" s="606" t="s">
        <v>644</v>
      </c>
      <c r="C44" s="619">
        <v>0.14050000000000001</v>
      </c>
      <c r="D44" s="1021">
        <f>+D43</f>
        <v>0.10787699999999999</v>
      </c>
      <c r="E44" s="1021">
        <f>+E43</f>
        <v>0.101676</v>
      </c>
      <c r="F44" s="1021">
        <f>+F43</f>
        <v>9.4500000000000001E-2</v>
      </c>
      <c r="G44" s="1021">
        <f>+G43</f>
        <v>9.4500000000000001E-2</v>
      </c>
      <c r="H44" s="609"/>
      <c r="I44" s="609"/>
      <c r="J44" s="609"/>
      <c r="K44" s="609"/>
      <c r="L44" s="609"/>
    </row>
    <row r="45" spans="1:12">
      <c r="A45" s="610" t="s">
        <v>924</v>
      </c>
      <c r="B45" s="606" t="s">
        <v>644</v>
      </c>
      <c r="C45" s="620">
        <v>0.08</v>
      </c>
      <c r="D45" s="1021">
        <f>+D43</f>
        <v>0.10787699999999999</v>
      </c>
      <c r="E45" s="1021">
        <f t="shared" ref="E45:G45" si="7">+E43</f>
        <v>0.101676</v>
      </c>
      <c r="F45" s="1021">
        <f t="shared" si="7"/>
        <v>9.4500000000000001E-2</v>
      </c>
      <c r="G45" s="1021">
        <f t="shared" si="7"/>
        <v>9.4500000000000001E-2</v>
      </c>
      <c r="H45" s="609"/>
      <c r="I45" s="609"/>
      <c r="J45" s="609"/>
      <c r="K45" s="609"/>
      <c r="L45" s="609"/>
    </row>
    <row r="46" spans="1:12">
      <c r="A46" s="610"/>
      <c r="B46" s="606"/>
      <c r="C46" s="619"/>
      <c r="D46" s="619"/>
      <c r="E46" s="619"/>
      <c r="F46" s="621"/>
      <c r="G46" s="614"/>
      <c r="H46" s="609"/>
      <c r="I46" s="609"/>
      <c r="J46" s="609"/>
      <c r="K46" s="609"/>
      <c r="L46" s="609"/>
    </row>
    <row r="47" spans="1:12">
      <c r="A47" s="615" t="s">
        <v>222</v>
      </c>
      <c r="B47" s="606"/>
      <c r="C47" s="617"/>
      <c r="D47" s="617"/>
      <c r="E47" s="608"/>
      <c r="F47" s="613"/>
      <c r="G47" s="614"/>
      <c r="H47" s="609"/>
      <c r="I47" s="609"/>
      <c r="J47" s="609"/>
      <c r="K47" s="609"/>
      <c r="L47" s="609"/>
    </row>
    <row r="48" spans="1:12">
      <c r="A48" s="610" t="s">
        <v>925</v>
      </c>
      <c r="B48" s="606" t="s">
        <v>644</v>
      </c>
      <c r="C48" s="620">
        <f>+C91</f>
        <v>0.96824686999999998</v>
      </c>
      <c r="D48" s="620">
        <f>C48</f>
        <v>0.96824686999999998</v>
      </c>
      <c r="E48" s="620">
        <f t="shared" ref="E48:G48" si="8">D48</f>
        <v>0.96824686999999998</v>
      </c>
      <c r="F48" s="620">
        <f t="shared" si="8"/>
        <v>0.96824686999999998</v>
      </c>
      <c r="G48" s="620">
        <f t="shared" si="8"/>
        <v>0.96824686999999998</v>
      </c>
      <c r="H48" s="609"/>
      <c r="I48" s="609"/>
      <c r="J48" s="609"/>
      <c r="K48" s="609"/>
      <c r="L48" s="609"/>
    </row>
    <row r="49" spans="1:12">
      <c r="A49" s="610" t="s">
        <v>926</v>
      </c>
      <c r="B49" s="606" t="s">
        <v>644</v>
      </c>
      <c r="C49" s="620">
        <v>0.155</v>
      </c>
      <c r="D49" s="620">
        <v>0.155</v>
      </c>
      <c r="E49" s="620">
        <v>0.155</v>
      </c>
      <c r="F49" s="620">
        <v>0.155</v>
      </c>
      <c r="G49" s="620">
        <v>0.155</v>
      </c>
      <c r="H49" s="609"/>
      <c r="I49" s="609"/>
      <c r="J49" s="609"/>
      <c r="K49" s="609"/>
      <c r="L49" s="609"/>
    </row>
    <row r="50" spans="1:12">
      <c r="A50" s="610" t="s">
        <v>927</v>
      </c>
      <c r="B50" s="606" t="s">
        <v>644</v>
      </c>
      <c r="C50" s="620">
        <f>1-C48</f>
        <v>3.1753130000000018E-2</v>
      </c>
      <c r="D50" s="620">
        <f>1-D48</f>
        <v>3.1753130000000018E-2</v>
      </c>
      <c r="E50" s="620">
        <f>1-E48</f>
        <v>3.1753130000000018E-2</v>
      </c>
      <c r="F50" s="620">
        <f>1-F48</f>
        <v>3.1753130000000018E-2</v>
      </c>
      <c r="G50" s="620">
        <f t="shared" ref="G50" si="9">1-G48</f>
        <v>3.1753130000000018E-2</v>
      </c>
      <c r="H50" s="609"/>
      <c r="I50" s="609"/>
      <c r="J50" s="609"/>
      <c r="K50" s="609"/>
      <c r="L50" s="609"/>
    </row>
    <row r="51" spans="1:12">
      <c r="A51" s="610" t="s">
        <v>928</v>
      </c>
      <c r="B51" s="606" t="s">
        <v>644</v>
      </c>
      <c r="C51" s="617">
        <v>0.17499999999999999</v>
      </c>
      <c r="D51" s="617">
        <v>0.17499999999999999</v>
      </c>
      <c r="E51" s="617">
        <v>0.17499999999999999</v>
      </c>
      <c r="F51" s="617">
        <v>0.17499999999999999</v>
      </c>
      <c r="G51" s="617">
        <v>0.17499999999999999</v>
      </c>
      <c r="H51" s="609"/>
      <c r="I51" s="609"/>
      <c r="J51" s="609"/>
      <c r="K51" s="609"/>
      <c r="L51" s="609"/>
    </row>
    <row r="52" spans="1:12">
      <c r="A52" s="839" t="s">
        <v>929</v>
      </c>
      <c r="B52" s="840" t="s">
        <v>644</v>
      </c>
      <c r="C52" s="622">
        <f>(C48*C49)+(C50*C51)</f>
        <v>0.15563506260000001</v>
      </c>
      <c r="D52" s="622">
        <f>(D48*D49)+(D50*D51)</f>
        <v>0.15563506260000001</v>
      </c>
      <c r="E52" s="622">
        <f>(E48*E49)+(E50*E51)</f>
        <v>0.15563506260000001</v>
      </c>
      <c r="F52" s="622">
        <f>(F48*F49)+(F50*F51)</f>
        <v>0.15563506260000001</v>
      </c>
      <c r="G52" s="622">
        <f t="shared" ref="G52" si="10">(G48*G49)+(G50*G51)</f>
        <v>0.15563506260000001</v>
      </c>
      <c r="H52" s="609"/>
      <c r="I52" s="609"/>
      <c r="J52" s="609"/>
      <c r="K52" s="609"/>
      <c r="L52" s="609"/>
    </row>
    <row r="53" spans="1:12" hidden="1">
      <c r="A53" s="626"/>
      <c r="B53" s="606"/>
      <c r="C53" s="623"/>
      <c r="D53" s="623"/>
      <c r="E53" s="623"/>
      <c r="F53" s="623"/>
      <c r="G53" s="614"/>
      <c r="H53" s="609"/>
      <c r="I53" s="609"/>
      <c r="J53" s="609"/>
      <c r="K53" s="609"/>
      <c r="L53" s="609"/>
    </row>
    <row r="54" spans="1:12">
      <c r="A54" s="626"/>
      <c r="B54" s="606"/>
      <c r="C54" s="623"/>
      <c r="D54" s="623"/>
      <c r="E54" s="608"/>
      <c r="F54" s="613"/>
      <c r="G54" s="614"/>
      <c r="H54" s="609"/>
      <c r="I54" s="609"/>
      <c r="J54" s="609"/>
      <c r="K54" s="609"/>
      <c r="L54" s="609"/>
    </row>
    <row r="55" spans="1:12">
      <c r="A55" s="626"/>
      <c r="B55" s="606"/>
      <c r="C55" s="623"/>
      <c r="D55" s="623"/>
      <c r="E55" s="608"/>
      <c r="F55" s="613"/>
      <c r="G55" s="614"/>
      <c r="H55" s="609"/>
      <c r="I55" s="609"/>
      <c r="J55" s="609"/>
      <c r="K55" s="609"/>
      <c r="L55" s="609"/>
    </row>
    <row r="56" spans="1:12">
      <c r="A56" s="615" t="s">
        <v>930</v>
      </c>
      <c r="B56" s="606"/>
      <c r="C56" s="620"/>
      <c r="D56" s="620"/>
      <c r="E56" s="620"/>
      <c r="F56" s="620"/>
      <c r="G56" s="614"/>
      <c r="H56" s="609"/>
      <c r="I56" s="609"/>
      <c r="J56" s="609"/>
      <c r="K56" s="609"/>
      <c r="L56" s="609"/>
    </row>
    <row r="57" spans="1:12">
      <c r="A57" s="624" t="s">
        <v>931</v>
      </c>
      <c r="B57" s="606" t="s">
        <v>644</v>
      </c>
      <c r="C57" s="928">
        <f>+'F1.4'!E37</f>
        <v>-7.8266147498292141E-4</v>
      </c>
      <c r="D57" s="928">
        <f>+'F1.4'!G37</f>
        <v>8.0293038881395599E-3</v>
      </c>
      <c r="E57" s="928">
        <f>+D57</f>
        <v>8.0293038881395599E-3</v>
      </c>
      <c r="F57" s="928">
        <f t="shared" ref="F57:G57" si="11">E57</f>
        <v>8.0293038881395599E-3</v>
      </c>
      <c r="G57" s="928">
        <f t="shared" si="11"/>
        <v>8.0293038881395599E-3</v>
      </c>
      <c r="H57" s="707">
        <f>+'F1.4'!D37</f>
        <v>-7.8266147498292141E-4</v>
      </c>
      <c r="I57" s="707">
        <f>+'F1.4'!F37</f>
        <v>6.4000000000000003E-3</v>
      </c>
      <c r="J57" s="707">
        <f>+I57</f>
        <v>6.4000000000000003E-3</v>
      </c>
      <c r="K57" s="707">
        <f t="shared" ref="K57:L57" si="12">+J57</f>
        <v>6.4000000000000003E-3</v>
      </c>
      <c r="L57" s="707">
        <f t="shared" si="12"/>
        <v>6.4000000000000003E-3</v>
      </c>
    </row>
    <row r="58" spans="1:12">
      <c r="A58" s="624" t="s">
        <v>932</v>
      </c>
      <c r="B58" s="606" t="s">
        <v>644</v>
      </c>
      <c r="C58" s="928">
        <f>+'F1.4'!E29</f>
        <v>3.9199999999999999E-2</v>
      </c>
      <c r="D58" s="928">
        <f>+'F2.1'!Q49</f>
        <v>3.6256519735538666E-2</v>
      </c>
      <c r="E58" s="928">
        <f>+'F2.1'!Q74</f>
        <v>3.3020772099547083E-2</v>
      </c>
      <c r="F58" s="928">
        <v>3.9199999999999999E-2</v>
      </c>
      <c r="G58" s="928">
        <v>3.9199999999999999E-2</v>
      </c>
      <c r="H58" s="707">
        <v>3.9199999999999999E-2</v>
      </c>
      <c r="I58" s="707">
        <v>3.9199999999999999E-2</v>
      </c>
      <c r="J58" s="707">
        <v>3.9199999999999999E-2</v>
      </c>
      <c r="K58" s="707">
        <v>3.9199999999999999E-2</v>
      </c>
      <c r="L58" s="707">
        <v>3.9199999999999999E-2</v>
      </c>
    </row>
    <row r="59" spans="1:12">
      <c r="A59" s="624"/>
      <c r="B59" s="606"/>
      <c r="C59" s="625"/>
      <c r="D59" s="625"/>
      <c r="E59" s="625"/>
      <c r="F59" s="625"/>
      <c r="G59" s="625"/>
      <c r="H59" s="609"/>
      <c r="I59" s="609"/>
      <c r="J59" s="609"/>
      <c r="K59" s="609"/>
      <c r="L59" s="609"/>
    </row>
    <row r="60" spans="1:12">
      <c r="A60" s="605" t="s">
        <v>933</v>
      </c>
      <c r="B60" s="606"/>
      <c r="C60" s="625"/>
      <c r="D60" s="625"/>
      <c r="E60" s="625"/>
      <c r="F60" s="625"/>
      <c r="G60" s="625"/>
      <c r="H60" s="609"/>
      <c r="I60" s="609"/>
      <c r="J60" s="609"/>
      <c r="K60" s="609"/>
      <c r="L60" s="609"/>
    </row>
    <row r="61" spans="1:12">
      <c r="A61" s="624" t="s">
        <v>934</v>
      </c>
      <c r="B61" s="606" t="s">
        <v>644</v>
      </c>
      <c r="C61" s="625">
        <v>5.0000000000000001E-3</v>
      </c>
      <c r="D61" s="625">
        <v>0.01</v>
      </c>
      <c r="E61" s="625">
        <v>0.02</v>
      </c>
      <c r="F61" s="625">
        <v>2.75E-2</v>
      </c>
      <c r="G61" s="625">
        <v>3.5000000000000003E-2</v>
      </c>
      <c r="H61" s="625">
        <v>5.0000000000000001E-3</v>
      </c>
      <c r="I61" s="625">
        <v>0.01</v>
      </c>
      <c r="J61" s="625">
        <v>0.02</v>
      </c>
      <c r="K61" s="625">
        <v>2.75E-2</v>
      </c>
      <c r="L61" s="625">
        <v>3.5000000000000003E-2</v>
      </c>
    </row>
    <row r="62" spans="1:12">
      <c r="A62" s="624" t="s">
        <v>935</v>
      </c>
      <c r="B62" s="606" t="s">
        <v>644</v>
      </c>
      <c r="C62" s="625">
        <v>8.5000000000000006E-2</v>
      </c>
      <c r="D62" s="625">
        <v>0.1</v>
      </c>
      <c r="E62" s="625">
        <v>0.105</v>
      </c>
      <c r="F62" s="625">
        <v>0.11</v>
      </c>
      <c r="G62" s="625">
        <v>0.115</v>
      </c>
      <c r="H62" s="625">
        <v>8.5000000000000006E-2</v>
      </c>
      <c r="I62" s="625">
        <v>0.1</v>
      </c>
      <c r="J62" s="625">
        <v>0.105</v>
      </c>
      <c r="K62" s="625">
        <v>0.11</v>
      </c>
      <c r="L62" s="625">
        <v>0.115</v>
      </c>
    </row>
    <row r="63" spans="1:12">
      <c r="A63" s="624" t="s">
        <v>115</v>
      </c>
      <c r="B63" s="606" t="s">
        <v>644</v>
      </c>
      <c r="C63" s="625">
        <f>SUM(C61:C62)</f>
        <v>9.0000000000000011E-2</v>
      </c>
      <c r="D63" s="625">
        <f t="shared" ref="D63:G63" si="13">SUM(D61:D62)</f>
        <v>0.11</v>
      </c>
      <c r="E63" s="625">
        <f t="shared" si="13"/>
        <v>0.125</v>
      </c>
      <c r="F63" s="625">
        <f t="shared" si="13"/>
        <v>0.13750000000000001</v>
      </c>
      <c r="G63" s="625">
        <f t="shared" si="13"/>
        <v>0.15000000000000002</v>
      </c>
      <c r="H63" s="625">
        <f>SUM(H61:H62)</f>
        <v>9.0000000000000011E-2</v>
      </c>
      <c r="I63" s="625">
        <f t="shared" ref="I63:L63" si="14">SUM(I61:I62)</f>
        <v>0.11</v>
      </c>
      <c r="J63" s="625">
        <f t="shared" si="14"/>
        <v>0.125</v>
      </c>
      <c r="K63" s="625">
        <f t="shared" si="14"/>
        <v>0.13750000000000001</v>
      </c>
      <c r="L63" s="625">
        <f t="shared" si="14"/>
        <v>0.15000000000000002</v>
      </c>
    </row>
    <row r="64" spans="1:12">
      <c r="A64" s="624"/>
      <c r="B64" s="606"/>
      <c r="C64" s="625"/>
      <c r="D64" s="625"/>
      <c r="E64" s="625"/>
      <c r="F64" s="625"/>
      <c r="G64" s="609"/>
    </row>
    <row r="65" spans="1:7">
      <c r="A65" s="615" t="s">
        <v>1081</v>
      </c>
      <c r="B65" s="606"/>
      <c r="C65" s="625"/>
      <c r="D65" s="625"/>
      <c r="E65" s="620"/>
      <c r="F65" s="620"/>
      <c r="G65" s="609"/>
    </row>
    <row r="66" spans="1:7">
      <c r="A66" s="626" t="s">
        <v>936</v>
      </c>
      <c r="B66" s="606" t="s">
        <v>644</v>
      </c>
      <c r="C66" s="617">
        <v>5.0000000000000001E-3</v>
      </c>
      <c r="D66" s="617">
        <v>5.0000000000000001E-3</v>
      </c>
      <c r="E66" s="617">
        <v>5.0000000000000001E-3</v>
      </c>
      <c r="F66" s="617">
        <v>5.0000000000000001E-3</v>
      </c>
      <c r="G66" s="617">
        <v>5.0000000000000001E-3</v>
      </c>
    </row>
    <row r="68" spans="1:7">
      <c r="A68" s="615" t="s">
        <v>937</v>
      </c>
      <c r="B68" s="606"/>
      <c r="C68" s="617"/>
      <c r="D68" s="617"/>
      <c r="E68" s="617"/>
      <c r="F68" s="617"/>
      <c r="G68" s="617"/>
    </row>
    <row r="69" spans="1:7">
      <c r="A69" s="610" t="s">
        <v>938</v>
      </c>
      <c r="B69" s="606" t="s">
        <v>644</v>
      </c>
      <c r="C69" s="617"/>
      <c r="D69" s="617">
        <v>0.12</v>
      </c>
      <c r="E69" s="617">
        <v>0.12</v>
      </c>
      <c r="F69" s="617">
        <v>0.12</v>
      </c>
      <c r="G69" s="617">
        <v>0.12</v>
      </c>
    </row>
    <row r="70" spans="1:7">
      <c r="A70" s="610" t="s">
        <v>87</v>
      </c>
      <c r="B70" s="606" t="s">
        <v>939</v>
      </c>
      <c r="C70" s="623">
        <v>0.35</v>
      </c>
      <c r="D70" s="623">
        <f>C70*(1+D69)</f>
        <v>0.39200000000000002</v>
      </c>
      <c r="E70" s="623">
        <f>D70*(1+E69)</f>
        <v>0.43904000000000004</v>
      </c>
      <c r="F70" s="623">
        <f>E70*(1+F69)</f>
        <v>0.49172480000000007</v>
      </c>
      <c r="G70" s="623">
        <f>F70*(1+G69)</f>
        <v>0.55073177600000012</v>
      </c>
    </row>
    <row r="71" spans="1:7">
      <c r="A71" s="610" t="s">
        <v>940</v>
      </c>
      <c r="B71" s="606" t="s">
        <v>644</v>
      </c>
      <c r="C71" s="617"/>
      <c r="D71" s="1022">
        <v>5.8405720000000001E-2</v>
      </c>
      <c r="E71" s="1022">
        <f>D71</f>
        <v>5.8405720000000001E-2</v>
      </c>
      <c r="F71" s="1022">
        <f>+F74</f>
        <v>4.7503483853413069E-2</v>
      </c>
      <c r="G71" s="1022">
        <f t="shared" ref="G71" si="15">F71</f>
        <v>4.7503483853413069E-2</v>
      </c>
    </row>
    <row r="72" spans="1:7">
      <c r="A72" s="610" t="s">
        <v>941</v>
      </c>
      <c r="B72" s="606" t="s">
        <v>644</v>
      </c>
      <c r="C72" s="617"/>
      <c r="D72" s="1022">
        <f>+D71</f>
        <v>5.8405720000000001E-2</v>
      </c>
      <c r="E72" s="1022">
        <f t="shared" ref="E72:G72" si="16">D72</f>
        <v>5.8405720000000001E-2</v>
      </c>
      <c r="F72" s="1022">
        <f>+('9| ESC FACTOR'!I31/'9| ESC FACTOR'!H31-1)</f>
        <v>2.2304832713754719E-2</v>
      </c>
      <c r="G72" s="1022">
        <f t="shared" si="16"/>
        <v>2.2304832713754719E-2</v>
      </c>
    </row>
    <row r="73" spans="1:7">
      <c r="A73" s="610" t="s">
        <v>1168</v>
      </c>
      <c r="B73" s="606" t="s">
        <v>644</v>
      </c>
      <c r="C73" s="617"/>
      <c r="D73" s="620">
        <v>2.9700000000000001E-2</v>
      </c>
      <c r="E73" s="620">
        <f>+D73</f>
        <v>2.9700000000000001E-2</v>
      </c>
      <c r="F73" s="620">
        <f t="shared" ref="F73:G73" si="17">+E73</f>
        <v>2.9700000000000001E-2</v>
      </c>
      <c r="G73" s="620">
        <f t="shared" si="17"/>
        <v>2.9700000000000001E-2</v>
      </c>
    </row>
    <row r="74" spans="1:7">
      <c r="A74" s="610" t="s">
        <v>1182</v>
      </c>
      <c r="B74" s="606" t="s">
        <v>644</v>
      </c>
      <c r="C74" s="617">
        <f>+'9| ESC FACTOR'!C50</f>
        <v>5.3901089838269224E-2</v>
      </c>
      <c r="D74" s="617">
        <f>+'9| ESC FACTOR'!D50</f>
        <v>4.7503483853413069E-2</v>
      </c>
      <c r="E74" s="617">
        <f>+'9| ESC FACTOR'!E50</f>
        <v>4.7503483853413069E-2</v>
      </c>
      <c r="F74" s="620">
        <f t="shared" ref="F74:G74" si="18">+E74</f>
        <v>4.7503483853413069E-2</v>
      </c>
      <c r="G74" s="620">
        <f t="shared" si="18"/>
        <v>4.7503483853413069E-2</v>
      </c>
    </row>
    <row r="75" spans="1:7">
      <c r="A75" s="998"/>
      <c r="B75" s="999"/>
      <c r="C75" s="1000"/>
      <c r="D75" s="1001"/>
      <c r="E75" s="1001"/>
      <c r="F75" s="1001"/>
      <c r="G75" s="1001"/>
    </row>
    <row r="78" spans="1:7">
      <c r="A78" s="627" t="s">
        <v>28</v>
      </c>
    </row>
    <row r="79" spans="1:7" ht="47.25">
      <c r="A79" s="628"/>
      <c r="B79" s="628" t="s">
        <v>1015</v>
      </c>
      <c r="C79" s="628" t="s">
        <v>1016</v>
      </c>
      <c r="D79" s="629"/>
      <c r="E79" s="629"/>
      <c r="F79" s="629"/>
      <c r="G79" s="629"/>
    </row>
    <row r="80" spans="1:7">
      <c r="A80" s="630" t="s">
        <v>942</v>
      </c>
      <c r="B80" s="629"/>
      <c r="C80" s="629"/>
      <c r="D80" s="629"/>
      <c r="E80" s="629"/>
      <c r="F80" s="629"/>
      <c r="G80" s="629"/>
    </row>
    <row r="81" spans="1:7">
      <c r="A81" s="629" t="s">
        <v>943</v>
      </c>
      <c r="B81" s="631">
        <v>14.29</v>
      </c>
      <c r="C81" s="609">
        <v>10.55</v>
      </c>
      <c r="D81" s="629"/>
      <c r="E81" s="629"/>
      <c r="F81" s="629"/>
      <c r="G81" s="629"/>
    </row>
    <row r="82" spans="1:7">
      <c r="A82" s="629" t="s">
        <v>944</v>
      </c>
      <c r="B82" s="631">
        <v>10.210000000000001</v>
      </c>
      <c r="C82" s="609">
        <v>0</v>
      </c>
      <c r="D82" s="629"/>
      <c r="E82" s="629"/>
      <c r="F82" s="629"/>
      <c r="G82" s="629"/>
    </row>
    <row r="83" spans="1:7">
      <c r="A83" s="629" t="s">
        <v>945</v>
      </c>
      <c r="B83" s="631">
        <v>20.37</v>
      </c>
      <c r="C83" s="609">
        <v>18.41</v>
      </c>
      <c r="D83" s="629"/>
      <c r="E83" s="629"/>
      <c r="F83" s="629"/>
      <c r="G83" s="629"/>
    </row>
    <row r="84" spans="1:7">
      <c r="A84" s="629" t="s">
        <v>946</v>
      </c>
      <c r="B84" s="631">
        <v>41.71</v>
      </c>
      <c r="C84" s="609">
        <v>14.34</v>
      </c>
      <c r="D84" s="629"/>
      <c r="E84" s="629"/>
      <c r="F84" s="629"/>
      <c r="G84" s="629"/>
    </row>
    <row r="85" spans="1:7">
      <c r="A85" s="632" t="s">
        <v>424</v>
      </c>
      <c r="B85" s="633">
        <f>SUM(B81:B84)</f>
        <v>86.580000000000013</v>
      </c>
      <c r="C85" s="633">
        <f>SUM(C81:C84)</f>
        <v>43.3</v>
      </c>
      <c r="D85" s="634"/>
      <c r="E85" s="634"/>
      <c r="F85" s="634"/>
      <c r="G85" s="629"/>
    </row>
    <row r="86" spans="1:7">
      <c r="A86" s="630" t="s">
        <v>947</v>
      </c>
      <c r="B86" s="631"/>
      <c r="C86" s="629"/>
      <c r="D86" s="629"/>
      <c r="E86" s="629"/>
      <c r="F86" s="629"/>
      <c r="G86" s="629"/>
    </row>
    <row r="87" spans="1:7">
      <c r="A87" s="629" t="s">
        <v>948</v>
      </c>
      <c r="B87" s="635">
        <v>2.12</v>
      </c>
      <c r="C87" s="609">
        <v>1.42</v>
      </c>
      <c r="D87" s="629"/>
      <c r="E87" s="629"/>
      <c r="F87" s="629"/>
      <c r="G87" s="629"/>
    </row>
    <row r="88" spans="1:7">
      <c r="A88" s="632" t="s">
        <v>424</v>
      </c>
      <c r="B88" s="633">
        <f>SUM(B87)</f>
        <v>2.12</v>
      </c>
      <c r="C88" s="633">
        <f>SUM(C87)</f>
        <v>1.42</v>
      </c>
      <c r="D88" s="629"/>
      <c r="E88" s="629"/>
      <c r="F88" s="629"/>
      <c r="G88" s="629"/>
    </row>
    <row r="89" spans="1:7">
      <c r="A89" s="630" t="s">
        <v>845</v>
      </c>
      <c r="B89" s="636">
        <f>B85+B88</f>
        <v>88.700000000000017</v>
      </c>
      <c r="C89" s="636">
        <f>C85+C88</f>
        <v>44.72</v>
      </c>
      <c r="D89" s="636"/>
      <c r="E89" s="636"/>
      <c r="F89" s="636"/>
      <c r="G89" s="629"/>
    </row>
    <row r="91" spans="1:7">
      <c r="A91" s="1082" t="s">
        <v>949</v>
      </c>
      <c r="B91" s="637">
        <v>0.96824686999999998</v>
      </c>
      <c r="C91" s="637">
        <f>B91</f>
        <v>0.96824686999999998</v>
      </c>
      <c r="D91" s="637">
        <f>C91</f>
        <v>0.96824686999999998</v>
      </c>
      <c r="E91" s="637">
        <f t="shared" ref="E91:F91" si="19">D91</f>
        <v>0.96824686999999998</v>
      </c>
      <c r="F91" s="637">
        <f t="shared" si="19"/>
        <v>0.96824686999999998</v>
      </c>
      <c r="G91" s="637">
        <f>F91</f>
        <v>0.96824686999999998</v>
      </c>
    </row>
    <row r="92" spans="1:7">
      <c r="A92" s="1082" t="s">
        <v>947</v>
      </c>
      <c r="B92" s="638">
        <f>1-B91</f>
        <v>3.1753130000000018E-2</v>
      </c>
      <c r="C92" s="638">
        <f>B92</f>
        <v>3.1753130000000018E-2</v>
      </c>
      <c r="D92" s="638">
        <f t="shared" ref="D92:G92" si="20">C92</f>
        <v>3.1753130000000018E-2</v>
      </c>
      <c r="E92" s="638">
        <f t="shared" si="20"/>
        <v>3.1753130000000018E-2</v>
      </c>
      <c r="F92" s="638">
        <f t="shared" si="20"/>
        <v>3.1753130000000018E-2</v>
      </c>
      <c r="G92" s="638">
        <f t="shared" si="20"/>
        <v>3.1753130000000018E-2</v>
      </c>
    </row>
    <row r="94" spans="1:7">
      <c r="C94" s="1083"/>
      <c r="D94" s="1081"/>
    </row>
  </sheetData>
  <mergeCells count="7">
    <mergeCell ref="A2:C2"/>
    <mergeCell ref="A3:C3"/>
    <mergeCell ref="A5:D5"/>
    <mergeCell ref="H7:L7"/>
    <mergeCell ref="C7:G7"/>
    <mergeCell ref="A7:A8"/>
    <mergeCell ref="B7:B8"/>
  </mergeCells>
  <pageMargins left="0.7" right="0.7" top="0.75" bottom="0.75" header="0.3" footer="0.3"/>
  <pageSetup paperSize="9" scale="42" fitToHeight="0" orientation="landscape" r:id="rId1"/>
  <legacy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2:O24"/>
  <sheetViews>
    <sheetView topLeftCell="B1" workbookViewId="0">
      <selection activeCell="C17" sqref="C17"/>
    </sheetView>
  </sheetViews>
  <sheetFormatPr defaultRowHeight="12.75"/>
  <cols>
    <col min="2" max="2" width="13.5703125" customWidth="1"/>
    <col min="3" max="3" width="12.28515625" customWidth="1"/>
    <col min="4" max="4" width="14" customWidth="1"/>
    <col min="5" max="5" width="13.28515625" customWidth="1"/>
    <col min="8" max="8" width="12.140625" customWidth="1"/>
    <col min="9" max="9" width="13.5703125" customWidth="1"/>
    <col min="10" max="10" width="13.140625" customWidth="1"/>
    <col min="13" max="13" width="12.7109375" customWidth="1"/>
    <col min="14" max="14" width="15.5703125" customWidth="1"/>
    <col min="15" max="15" width="12.85546875" customWidth="1"/>
  </cols>
  <sheetData>
    <row r="2" spans="2:15">
      <c r="B2" s="940" t="s">
        <v>1094</v>
      </c>
      <c r="G2" s="940" t="s">
        <v>1099</v>
      </c>
      <c r="L2" s="940" t="s">
        <v>1100</v>
      </c>
    </row>
    <row r="4" spans="2:15" s="1229" customFormat="1" ht="29.25" customHeight="1">
      <c r="B4" s="1227" t="s">
        <v>1095</v>
      </c>
      <c r="C4" s="1228" t="s">
        <v>1096</v>
      </c>
      <c r="D4" s="1228" t="s">
        <v>1097</v>
      </c>
      <c r="E4" s="1228" t="s">
        <v>1098</v>
      </c>
      <c r="G4" s="1227" t="s">
        <v>1095</v>
      </c>
      <c r="H4" s="1228" t="s">
        <v>1096</v>
      </c>
      <c r="I4" s="1228" t="s">
        <v>1097</v>
      </c>
      <c r="J4" s="1228" t="s">
        <v>1098</v>
      </c>
      <c r="L4" s="1227" t="s">
        <v>1095</v>
      </c>
      <c r="M4" s="1228" t="s">
        <v>1096</v>
      </c>
      <c r="N4" s="1228" t="s">
        <v>1097</v>
      </c>
      <c r="O4" s="1228" t="s">
        <v>1098</v>
      </c>
    </row>
    <row r="5" spans="2:15">
      <c r="B5" s="1224">
        <v>42095</v>
      </c>
      <c r="C5" s="721">
        <v>11979.66</v>
      </c>
      <c r="D5" s="721">
        <v>11486.13</v>
      </c>
      <c r="E5" s="722">
        <f t="shared" ref="E5:E10" si="0">+(C5-D5)/C5</f>
        <v>4.1197329473457563E-2</v>
      </c>
      <c r="G5" s="1224">
        <v>42461</v>
      </c>
      <c r="H5" s="721">
        <v>12515.52</v>
      </c>
      <c r="I5" s="721">
        <v>12048.51</v>
      </c>
      <c r="J5" s="722">
        <f>+(H5-I5)/H5</f>
        <v>3.7314470353608978E-2</v>
      </c>
      <c r="L5" s="1224">
        <v>42826</v>
      </c>
      <c r="M5" s="721">
        <v>14032.17</v>
      </c>
      <c r="N5" s="721">
        <v>13522.1</v>
      </c>
      <c r="O5" s="722">
        <f>+(M5-N5)/M5</f>
        <v>3.6350044219817725E-2</v>
      </c>
    </row>
    <row r="6" spans="2:15">
      <c r="B6" s="1224">
        <v>42125</v>
      </c>
      <c r="C6" s="721">
        <v>12678.62</v>
      </c>
      <c r="D6" s="721">
        <v>12186.92</v>
      </c>
      <c r="E6" s="722">
        <f t="shared" si="0"/>
        <v>3.8781823258367293E-2</v>
      </c>
      <c r="G6" s="1224">
        <v>42491</v>
      </c>
      <c r="H6" s="721">
        <v>12763.48</v>
      </c>
      <c r="I6" s="721">
        <v>12338.8</v>
      </c>
      <c r="J6" s="722">
        <f t="shared" ref="J6:J16" si="1">+(H6-I6)/H6</f>
        <v>3.3273057191298951E-2</v>
      </c>
      <c r="L6" s="1224">
        <v>42856</v>
      </c>
      <c r="M6" s="721">
        <v>14062.48</v>
      </c>
      <c r="N6" s="721">
        <v>13569.12</v>
      </c>
      <c r="O6" s="722">
        <f t="shared" ref="O6:O15" si="2">+(M6-N6)/M6</f>
        <v>3.5083427674208162E-2</v>
      </c>
    </row>
    <row r="7" spans="2:15">
      <c r="B7" s="1224">
        <v>42156</v>
      </c>
      <c r="C7" s="721">
        <v>10940.52</v>
      </c>
      <c r="D7" s="721">
        <v>10498.43</v>
      </c>
      <c r="E7" s="722">
        <f t="shared" si="0"/>
        <v>4.0408499778803945E-2</v>
      </c>
      <c r="G7" s="1224">
        <v>42522</v>
      </c>
      <c r="H7" s="721">
        <v>11500.22</v>
      </c>
      <c r="I7" s="721">
        <v>11089.81</v>
      </c>
      <c r="J7" s="722">
        <f t="shared" si="1"/>
        <v>3.5687143376387571E-2</v>
      </c>
      <c r="L7" s="1224">
        <v>42887</v>
      </c>
      <c r="M7" s="721">
        <v>11743.05</v>
      </c>
      <c r="N7" s="721">
        <v>11348.37</v>
      </c>
      <c r="O7" s="722">
        <f t="shared" si="2"/>
        <v>3.3609666994520032E-2</v>
      </c>
    </row>
    <row r="8" spans="2:15">
      <c r="B8" s="1224">
        <v>42186</v>
      </c>
      <c r="C8" s="721">
        <v>11985.82</v>
      </c>
      <c r="D8" s="721">
        <v>11533.17</v>
      </c>
      <c r="E8" s="722">
        <f t="shared" si="0"/>
        <v>3.776545951799707E-2</v>
      </c>
      <c r="G8" s="1224">
        <v>42552</v>
      </c>
      <c r="H8" s="721">
        <v>10343.98</v>
      </c>
      <c r="I8" s="721">
        <v>9960.32</v>
      </c>
      <c r="J8" s="722">
        <f t="shared" si="1"/>
        <v>3.7090172254780063E-2</v>
      </c>
      <c r="L8" s="1224">
        <v>42917</v>
      </c>
      <c r="M8" s="721">
        <v>11732.15</v>
      </c>
      <c r="N8" s="721">
        <v>11368.27</v>
      </c>
      <c r="O8" s="722">
        <f t="shared" si="2"/>
        <v>3.1015627996573449E-2</v>
      </c>
    </row>
    <row r="9" spans="2:15">
      <c r="B9" s="1224">
        <v>42217</v>
      </c>
      <c r="C9" s="721">
        <v>11529.16</v>
      </c>
      <c r="D9" s="721">
        <v>11061.04</v>
      </c>
      <c r="E9" s="722">
        <f t="shared" si="0"/>
        <v>4.0603131537770225E-2</v>
      </c>
      <c r="G9" s="1224">
        <v>42583</v>
      </c>
      <c r="H9" s="721">
        <v>11139.77</v>
      </c>
      <c r="I9" s="721">
        <v>10729.98</v>
      </c>
      <c r="J9" s="722">
        <f t="shared" si="1"/>
        <v>3.6786217309693184E-2</v>
      </c>
      <c r="L9" s="1224">
        <v>42948</v>
      </c>
      <c r="M9" s="721">
        <v>12117.41</v>
      </c>
      <c r="N9" s="721">
        <v>11707.79</v>
      </c>
      <c r="O9" s="722">
        <f t="shared" si="2"/>
        <v>3.3804253549231972E-2</v>
      </c>
    </row>
    <row r="10" spans="2:15">
      <c r="B10" s="1224">
        <v>42248</v>
      </c>
      <c r="C10" s="721">
        <v>11244.54</v>
      </c>
      <c r="D10" s="721">
        <v>10802.28</v>
      </c>
      <c r="E10" s="722">
        <f t="shared" si="0"/>
        <v>3.9331088688376772E-2</v>
      </c>
      <c r="G10" s="1224">
        <v>42614</v>
      </c>
      <c r="H10" s="721">
        <v>10986.69</v>
      </c>
      <c r="I10" s="721">
        <v>10584.9</v>
      </c>
      <c r="J10" s="722">
        <f t="shared" si="1"/>
        <v>3.6570614079399787E-2</v>
      </c>
      <c r="L10" s="1224">
        <v>42979</v>
      </c>
      <c r="M10" s="721">
        <v>11302.32</v>
      </c>
      <c r="N10" s="721">
        <v>10926.99</v>
      </c>
      <c r="O10" s="722">
        <f t="shared" si="2"/>
        <v>3.3208226275667288E-2</v>
      </c>
    </row>
    <row r="11" spans="2:15">
      <c r="B11" s="1224">
        <v>42278</v>
      </c>
      <c r="C11" s="721">
        <v>12932.72</v>
      </c>
      <c r="D11" s="721">
        <v>12407.68</v>
      </c>
      <c r="E11" s="722">
        <f t="shared" ref="E11:E16" si="3">+(C11-D11)/C11</f>
        <v>4.0597801545227845E-2</v>
      </c>
      <c r="G11" s="1224">
        <v>42644</v>
      </c>
      <c r="H11" s="721">
        <v>11707.42</v>
      </c>
      <c r="I11" s="721">
        <v>11277.21</v>
      </c>
      <c r="J11" s="722">
        <f t="shared" si="1"/>
        <v>3.6746781101216229E-2</v>
      </c>
      <c r="L11" s="1224">
        <v>43009</v>
      </c>
      <c r="M11" s="721">
        <v>11821.77</v>
      </c>
      <c r="N11" s="721">
        <v>11403.91</v>
      </c>
      <c r="O11" s="722">
        <f t="shared" si="2"/>
        <v>3.5346652827791487E-2</v>
      </c>
    </row>
    <row r="12" spans="2:15">
      <c r="B12" s="1224">
        <v>42309</v>
      </c>
      <c r="C12" s="721">
        <v>11825.32</v>
      </c>
      <c r="D12" s="721">
        <v>11386.25</v>
      </c>
      <c r="E12" s="722">
        <f t="shared" si="3"/>
        <v>3.7129650614105981E-2</v>
      </c>
      <c r="G12" s="1224">
        <v>42675</v>
      </c>
      <c r="H12" s="721">
        <v>12191.76</v>
      </c>
      <c r="I12" s="721">
        <v>11732.11</v>
      </c>
      <c r="J12" s="722">
        <f t="shared" si="1"/>
        <v>3.7701693602892418E-2</v>
      </c>
      <c r="L12" s="1224">
        <v>43040</v>
      </c>
      <c r="M12" s="721">
        <v>12535.79</v>
      </c>
      <c r="N12" s="721">
        <v>12158.42</v>
      </c>
      <c r="O12" s="722">
        <f t="shared" si="2"/>
        <v>3.0103407922436543E-2</v>
      </c>
    </row>
    <row r="13" spans="2:15">
      <c r="B13" s="1224">
        <v>42339</v>
      </c>
      <c r="C13" s="721">
        <v>11719</v>
      </c>
      <c r="D13" s="721">
        <v>11298.24</v>
      </c>
      <c r="E13" s="722">
        <f t="shared" si="3"/>
        <v>3.5904087379469256E-2</v>
      </c>
      <c r="G13" s="1224">
        <v>42705</v>
      </c>
      <c r="H13" s="721">
        <v>12501.94</v>
      </c>
      <c r="I13" s="721">
        <v>12075</v>
      </c>
      <c r="J13" s="942">
        <f t="shared" si="1"/>
        <v>3.4149899935530047E-2</v>
      </c>
      <c r="L13" s="1224">
        <v>43070</v>
      </c>
      <c r="M13" s="721">
        <v>12500.11</v>
      </c>
      <c r="N13" s="721">
        <v>12143.37</v>
      </c>
      <c r="O13" s="722">
        <f t="shared" si="2"/>
        <v>2.8538948857250036E-2</v>
      </c>
    </row>
    <row r="14" spans="2:15">
      <c r="B14" s="1224">
        <v>42370</v>
      </c>
      <c r="C14" s="1226">
        <v>11348.28</v>
      </c>
      <c r="D14" s="721">
        <v>10909.26</v>
      </c>
      <c r="E14" s="722">
        <f t="shared" si="3"/>
        <v>3.8686038765345973E-2</v>
      </c>
      <c r="G14" s="1224">
        <v>42736</v>
      </c>
      <c r="H14" s="1226">
        <v>12383.08</v>
      </c>
      <c r="I14" s="721">
        <v>11944.13</v>
      </c>
      <c r="J14" s="722">
        <f t="shared" si="1"/>
        <v>3.5447562318906181E-2</v>
      </c>
      <c r="L14" s="1224">
        <v>43101</v>
      </c>
      <c r="M14" s="721">
        <v>12678.22</v>
      </c>
      <c r="N14" s="721">
        <v>12270.73</v>
      </c>
      <c r="O14" s="722">
        <f t="shared" si="2"/>
        <v>3.2140947230762662E-2</v>
      </c>
    </row>
    <row r="15" spans="2:15">
      <c r="B15" s="1224">
        <v>42401</v>
      </c>
      <c r="C15" s="1226">
        <v>11135.6</v>
      </c>
      <c r="D15" s="721">
        <v>10716.83</v>
      </c>
      <c r="E15" s="722">
        <f t="shared" si="3"/>
        <v>3.7606415460325483E-2</v>
      </c>
      <c r="G15" s="1224">
        <v>42767</v>
      </c>
      <c r="H15" s="1226">
        <v>12032.42</v>
      </c>
      <c r="I15" s="721">
        <v>11590.1</v>
      </c>
      <c r="J15" s="722">
        <f t="shared" si="1"/>
        <v>3.6760684883007717E-2</v>
      </c>
      <c r="L15" s="1224">
        <v>43132</v>
      </c>
      <c r="M15" s="721">
        <v>11790.19</v>
      </c>
      <c r="N15" s="721">
        <v>11410.78</v>
      </c>
      <c r="O15" s="722">
        <f t="shared" si="2"/>
        <v>3.218014298327676E-2</v>
      </c>
    </row>
    <row r="16" spans="2:15">
      <c r="B16" s="1224">
        <v>42430</v>
      </c>
      <c r="C16" s="1226">
        <v>12447</v>
      </c>
      <c r="D16" s="721">
        <v>11929.1</v>
      </c>
      <c r="E16" s="722">
        <f t="shared" si="3"/>
        <v>4.1608419699525959E-2</v>
      </c>
      <c r="G16" s="1224">
        <v>42795</v>
      </c>
      <c r="H16" s="1226">
        <v>13762.49</v>
      </c>
      <c r="I16" s="721">
        <v>13242.22</v>
      </c>
      <c r="J16" s="722">
        <f t="shared" si="1"/>
        <v>3.7803478876278961E-2</v>
      </c>
      <c r="L16" s="1224">
        <v>43160</v>
      </c>
      <c r="M16" s="721">
        <v>14025.16</v>
      </c>
      <c r="N16" s="721">
        <v>13555.34</v>
      </c>
      <c r="O16" s="722">
        <f>+(M16-N16)/M16</f>
        <v>3.349837007207046E-2</v>
      </c>
    </row>
    <row r="17" spans="2:15">
      <c r="B17" s="785" t="s">
        <v>115</v>
      </c>
      <c r="C17" s="784">
        <f>SUM(C5:C16)</f>
        <v>141766.24000000002</v>
      </c>
      <c r="D17" s="784">
        <f>SUM(D5:D16)</f>
        <v>136215.32999999999</v>
      </c>
      <c r="E17" s="941">
        <f>+(C17-D17)/C17</f>
        <v>3.9155372957623988E-2</v>
      </c>
      <c r="G17" s="1225" t="s">
        <v>115</v>
      </c>
      <c r="H17" s="784">
        <f>SUM(H5:H16)</f>
        <v>143828.76999999999</v>
      </c>
      <c r="I17" s="784">
        <f>SUM(I5:I16)</f>
        <v>138613.09</v>
      </c>
      <c r="J17" s="941">
        <f>+(H17-I17)/H17</f>
        <v>3.6263120375707815E-2</v>
      </c>
      <c r="L17" s="1225" t="s">
        <v>115</v>
      </c>
      <c r="M17" s="784">
        <f>SUM(M5:M16)</f>
        <v>150340.81999999998</v>
      </c>
      <c r="N17" s="784">
        <f>SUM(N5:N16)</f>
        <v>145385.19</v>
      </c>
      <c r="O17" s="941">
        <f>+(M17-N17)/M17</f>
        <v>3.2962637825176E-2</v>
      </c>
    </row>
    <row r="21" spans="2:15">
      <c r="B21" s="1230" t="s">
        <v>1146</v>
      </c>
      <c r="C21" s="721">
        <f>+SUM(C5:C7)</f>
        <v>35598.800000000003</v>
      </c>
      <c r="D21" s="721">
        <f>+SUM(D5:D7)</f>
        <v>34171.479999999996</v>
      </c>
      <c r="E21" s="722">
        <f t="shared" ref="E21:E24" si="4">+(C21-D21)/C21</f>
        <v>4.0094609930672015E-2</v>
      </c>
    </row>
    <row r="22" spans="2:15">
      <c r="B22" s="1230" t="s">
        <v>1144</v>
      </c>
      <c r="C22" s="721">
        <f>+SUM(C8:C13)</f>
        <v>71236.56</v>
      </c>
      <c r="D22" s="721">
        <f>+SUM(D8:D13)</f>
        <v>68488.66</v>
      </c>
      <c r="E22" s="722">
        <f t="shared" si="4"/>
        <v>3.8574293873819769E-2</v>
      </c>
    </row>
    <row r="23" spans="2:15">
      <c r="B23" s="1230" t="s">
        <v>127</v>
      </c>
      <c r="C23" s="721">
        <f>+C14</f>
        <v>11348.28</v>
      </c>
      <c r="D23" s="721">
        <f>+D14</f>
        <v>10909.26</v>
      </c>
      <c r="E23" s="722">
        <f t="shared" si="4"/>
        <v>3.8686038765345973E-2</v>
      </c>
    </row>
    <row r="24" spans="2:15">
      <c r="B24" s="1230" t="s">
        <v>1145</v>
      </c>
      <c r="C24" s="721">
        <f>+SUM(C15:C16)</f>
        <v>23582.6</v>
      </c>
      <c r="D24" s="721">
        <f>+SUM(D15:D16)</f>
        <v>22645.93</v>
      </c>
      <c r="E24" s="722">
        <f t="shared" si="4"/>
        <v>3.9718690899222239E-2</v>
      </c>
    </row>
  </sheetData>
  <pageMargins left="0.7" right="0.7" top="0.75" bottom="0.75" header="0.3" footer="0.3"/>
  <legacyDrawing r:id="rId1"/>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S265"/>
  <sheetViews>
    <sheetView topLeftCell="A108" zoomScale="70" zoomScaleNormal="70" workbookViewId="0">
      <selection activeCell="C17" sqref="C17"/>
    </sheetView>
  </sheetViews>
  <sheetFormatPr defaultColWidth="9.140625" defaultRowHeight="13.5"/>
  <cols>
    <col min="1" max="1" width="10.28515625" style="421" bestFit="1" customWidth="1"/>
    <col min="2" max="2" width="18.7109375" style="421" customWidth="1"/>
    <col min="3" max="3" width="34" style="421" customWidth="1"/>
    <col min="4" max="4" width="14.5703125" style="421" bestFit="1" customWidth="1"/>
    <col min="5" max="5" width="17" style="421" customWidth="1"/>
    <col min="6" max="6" width="17.28515625" style="421" customWidth="1"/>
    <col min="7" max="7" width="17" style="421" customWidth="1"/>
    <col min="8" max="8" width="17.85546875" style="421" customWidth="1"/>
    <col min="9" max="9" width="17.28515625" style="421" customWidth="1"/>
    <col min="10" max="14" width="14.5703125" style="421" bestFit="1" customWidth="1"/>
    <col min="15" max="15" width="15.85546875" style="421" bestFit="1" customWidth="1"/>
    <col min="16" max="16" width="15.85546875" style="421" customWidth="1"/>
    <col min="17" max="17" width="16.42578125" style="421" customWidth="1"/>
    <col min="18" max="18" width="18.5703125" style="421" customWidth="1"/>
    <col min="19" max="19" width="11.7109375" style="421" customWidth="1"/>
    <col min="20" max="16384" width="9.140625" style="421"/>
  </cols>
  <sheetData>
    <row r="1" spans="1:14" ht="15">
      <c r="A1" s="461" t="s">
        <v>750</v>
      </c>
    </row>
    <row r="3" spans="1:14">
      <c r="A3" s="421" t="s">
        <v>38</v>
      </c>
      <c r="C3" s="421" t="s">
        <v>762</v>
      </c>
    </row>
    <row r="5" spans="1:14" s="432" customFormat="1" ht="15.75">
      <c r="A5" s="430" t="s">
        <v>252</v>
      </c>
      <c r="B5" s="427" t="s">
        <v>751</v>
      </c>
      <c r="C5" s="427" t="s">
        <v>119</v>
      </c>
      <c r="D5" s="431" t="s">
        <v>752</v>
      </c>
      <c r="E5" s="427" t="s">
        <v>753</v>
      </c>
      <c r="F5" s="427" t="s">
        <v>754</v>
      </c>
      <c r="G5" s="427" t="s">
        <v>755</v>
      </c>
      <c r="H5" s="427" t="s">
        <v>756</v>
      </c>
      <c r="I5" s="427" t="s">
        <v>757</v>
      </c>
      <c r="J5" s="427" t="s">
        <v>758</v>
      </c>
      <c r="K5" s="427" t="s">
        <v>759</v>
      </c>
      <c r="L5" s="427" t="s">
        <v>760</v>
      </c>
      <c r="M5" s="427" t="s">
        <v>761</v>
      </c>
      <c r="N5" s="427" t="s">
        <v>115</v>
      </c>
    </row>
    <row r="6" spans="1:14" s="432" customFormat="1" ht="15.75">
      <c r="A6" s="439" t="s">
        <v>267</v>
      </c>
      <c r="B6" s="427"/>
      <c r="C6" s="427"/>
      <c r="D6" s="431"/>
      <c r="E6" s="427"/>
      <c r="F6" s="427"/>
      <c r="G6" s="427"/>
      <c r="H6" s="427"/>
      <c r="I6" s="427"/>
      <c r="J6" s="427"/>
      <c r="K6" s="427"/>
      <c r="L6" s="427"/>
      <c r="M6" s="427"/>
      <c r="N6" s="427"/>
    </row>
    <row r="7" spans="1:14" ht="16.5">
      <c r="A7" s="422" t="s">
        <v>776</v>
      </c>
      <c r="B7" s="423">
        <f>4.683268+0.0845596</f>
        <v>4.7678276000000004</v>
      </c>
      <c r="C7" s="423">
        <v>6.67727586</v>
      </c>
      <c r="D7" s="424">
        <v>6.5120832200000009</v>
      </c>
      <c r="E7" s="423">
        <v>6.7975827000000013</v>
      </c>
      <c r="F7" s="423">
        <v>6.47425316</v>
      </c>
      <c r="G7" s="423">
        <v>6.4092702099999999</v>
      </c>
      <c r="H7" s="423">
        <v>6.8755923500000007</v>
      </c>
      <c r="I7" s="423">
        <v>6.2436281599999992</v>
      </c>
      <c r="J7" s="423">
        <v>6.1139836500000007</v>
      </c>
      <c r="K7" s="423">
        <v>5.6933639999999999</v>
      </c>
      <c r="L7" s="423">
        <v>5.7884406999999998</v>
      </c>
      <c r="M7" s="423">
        <v>6.5582149999999997</v>
      </c>
      <c r="N7" s="423">
        <f>SUM(B7:M7)</f>
        <v>74.911516610000007</v>
      </c>
    </row>
    <row r="8" spans="1:14" ht="16.5">
      <c r="A8" s="422" t="s">
        <v>850</v>
      </c>
      <c r="B8" s="423">
        <v>5.5899999999999998E-2</v>
      </c>
      <c r="C8" s="423">
        <v>1.4E-2</v>
      </c>
      <c r="D8" s="423">
        <v>4.1221999999999995E-3</v>
      </c>
      <c r="E8" s="423">
        <v>4.0010000000000002E-3</v>
      </c>
      <c r="F8" s="423">
        <v>4.3241999999999994E-3</v>
      </c>
      <c r="G8" s="423">
        <v>4.6877999999999998E-3</v>
      </c>
      <c r="H8" s="423">
        <v>5.8593999999999999E-3</v>
      </c>
      <c r="I8" s="423">
        <v>5.1726000000000003E-3</v>
      </c>
      <c r="J8" s="423">
        <v>4.8089999999999999E-3</v>
      </c>
      <c r="K8" s="423">
        <v>3.2799999999999999E-3</v>
      </c>
      <c r="L8" s="423">
        <v>0</v>
      </c>
      <c r="M8" s="423">
        <v>0</v>
      </c>
      <c r="N8" s="423">
        <f t="shared" ref="N8:N14" si="0">SUM(B8:M8)</f>
        <v>0.10615620000000002</v>
      </c>
    </row>
    <row r="9" spans="1:14" ht="16.5">
      <c r="A9" s="440" t="s">
        <v>270</v>
      </c>
      <c r="B9" s="423"/>
      <c r="C9" s="423"/>
      <c r="D9" s="423"/>
      <c r="E9" s="423"/>
      <c r="F9" s="423"/>
      <c r="G9" s="423"/>
      <c r="H9" s="423"/>
      <c r="I9" s="423"/>
      <c r="J9" s="423"/>
      <c r="K9" s="423"/>
      <c r="L9" s="423"/>
      <c r="M9" s="423"/>
      <c r="N9" s="423"/>
    </row>
    <row r="10" spans="1:14" ht="16.5">
      <c r="A10" s="422" t="s">
        <v>1017</v>
      </c>
      <c r="B10" s="423">
        <v>7.1019999999999998E-3</v>
      </c>
      <c r="C10" s="423">
        <v>9.3702000000000004E-3</v>
      </c>
      <c r="D10" s="423">
        <v>9.2029000000000017E-3</v>
      </c>
      <c r="E10" s="423">
        <v>9.6301000000000008E-3</v>
      </c>
      <c r="F10" s="423">
        <v>7.098199999999999E-3</v>
      </c>
      <c r="G10" s="423">
        <v>6.7862E-3</v>
      </c>
      <c r="H10" s="423">
        <v>1.4820799999999999E-2</v>
      </c>
      <c r="I10" s="423">
        <v>9.5257000000000015E-3</v>
      </c>
      <c r="J10" s="423">
        <v>1.1631200000000001E-2</v>
      </c>
      <c r="K10" s="423">
        <v>8.8672999999999998E-3</v>
      </c>
      <c r="L10" s="423">
        <v>8.1144000000000008E-3</v>
      </c>
      <c r="M10" s="423">
        <v>9.9720999999999994E-3</v>
      </c>
      <c r="N10" s="423">
        <f t="shared" si="0"/>
        <v>0.11212109999999999</v>
      </c>
    </row>
    <row r="11" spans="1:14" ht="16.5">
      <c r="A11" s="422" t="s">
        <v>1018</v>
      </c>
      <c r="B11" s="423">
        <v>1.2064E-2</v>
      </c>
      <c r="C11" s="423">
        <v>2.0576000000000001E-2</v>
      </c>
      <c r="D11" s="423">
        <v>2.4630599999999999E-2</v>
      </c>
      <c r="E11" s="423">
        <v>2.8840099999999997E-2</v>
      </c>
      <c r="F11" s="423">
        <v>2.7027900000000001E-2</v>
      </c>
      <c r="G11" s="423">
        <v>3.9233999999999998E-2</v>
      </c>
      <c r="H11" s="423">
        <v>2.3538400000000001E-2</v>
      </c>
      <c r="I11" s="423">
        <v>2.2342500000000001E-2</v>
      </c>
      <c r="J11" s="423">
        <v>2.5447999999999998E-2</v>
      </c>
      <c r="K11" s="423">
        <v>1.8248500000000001E-2</v>
      </c>
      <c r="L11" s="423">
        <v>2.3821599999999998E-2</v>
      </c>
      <c r="M11" s="423">
        <v>3.0801400000000003E-2</v>
      </c>
      <c r="N11" s="423">
        <f t="shared" si="0"/>
        <v>0.29657299999999998</v>
      </c>
    </row>
    <row r="12" spans="1:14" ht="16.5">
      <c r="A12" s="422" t="s">
        <v>1019</v>
      </c>
      <c r="B12" s="423">
        <v>0</v>
      </c>
      <c r="C12" s="423">
        <v>0</v>
      </c>
      <c r="D12" s="423">
        <v>0</v>
      </c>
      <c r="E12" s="423">
        <v>0</v>
      </c>
      <c r="F12" s="423">
        <v>0</v>
      </c>
      <c r="G12" s="423">
        <v>0</v>
      </c>
      <c r="H12" s="423">
        <v>0</v>
      </c>
      <c r="I12" s="423">
        <v>0</v>
      </c>
      <c r="J12" s="423">
        <v>0</v>
      </c>
      <c r="K12" s="423">
        <v>0</v>
      </c>
      <c r="L12" s="423">
        <v>0</v>
      </c>
      <c r="M12" s="423">
        <v>0</v>
      </c>
      <c r="N12" s="423">
        <f t="shared" si="0"/>
        <v>0</v>
      </c>
    </row>
    <row r="13" spans="1:14" ht="16.5">
      <c r="A13" s="425" t="s">
        <v>1021</v>
      </c>
      <c r="B13" s="423">
        <v>1.5436E-2</v>
      </c>
      <c r="C13" s="423">
        <v>2.2708199999999998E-2</v>
      </c>
      <c r="D13" s="423">
        <v>2.2202599999999999E-2</v>
      </c>
      <c r="E13" s="423">
        <v>2.3484100000000001E-2</v>
      </c>
      <c r="F13" s="423">
        <v>2.4043399999999999E-2</v>
      </c>
      <c r="G13" s="423">
        <v>2.22341E-2</v>
      </c>
      <c r="H13" s="423">
        <v>2.6201899999999993E-2</v>
      </c>
      <c r="I13" s="423">
        <v>2.5445099999999998E-2</v>
      </c>
      <c r="J13" s="423">
        <v>2.6051200000000004E-2</v>
      </c>
      <c r="K13" s="423">
        <v>2.6680999999999996E-2</v>
      </c>
      <c r="L13" s="423">
        <v>2.52544E-2</v>
      </c>
      <c r="M13" s="423">
        <v>2.9755500000000001E-2</v>
      </c>
      <c r="N13" s="423">
        <f t="shared" si="0"/>
        <v>0.28949749999999996</v>
      </c>
    </row>
    <row r="14" spans="1:14" ht="16.5">
      <c r="A14" s="425" t="s">
        <v>1020</v>
      </c>
      <c r="B14" s="423">
        <v>0.32678200000000002</v>
      </c>
      <c r="C14" s="423">
        <v>0.467524</v>
      </c>
      <c r="D14" s="423">
        <v>0.463868</v>
      </c>
      <c r="E14" s="423">
        <v>0.458482</v>
      </c>
      <c r="F14" s="423">
        <v>0.50178400000000001</v>
      </c>
      <c r="G14" s="423">
        <v>0.56285936999999997</v>
      </c>
      <c r="H14" s="423">
        <v>0.56876599999999999</v>
      </c>
      <c r="I14" s="423">
        <v>0.54174800000000001</v>
      </c>
      <c r="J14" s="423">
        <v>0.55974599999999997</v>
      </c>
      <c r="K14" s="423">
        <v>0.54349999999999998</v>
      </c>
      <c r="L14" s="423">
        <v>0.54962200000000005</v>
      </c>
      <c r="M14" s="423">
        <v>0.61251800000000001</v>
      </c>
      <c r="N14" s="423">
        <f t="shared" si="0"/>
        <v>6.1571993699999998</v>
      </c>
    </row>
    <row r="15" spans="1:14" ht="15">
      <c r="A15" s="426" t="s">
        <v>115</v>
      </c>
      <c r="B15" s="427">
        <f t="shared" ref="B15:N15" si="1">SUM(B7:B14)</f>
        <v>5.1851115999999999</v>
      </c>
      <c r="C15" s="427">
        <f t="shared" si="1"/>
        <v>7.2114542600000009</v>
      </c>
      <c r="D15" s="427">
        <f t="shared" si="1"/>
        <v>7.036109520000001</v>
      </c>
      <c r="E15" s="427">
        <f t="shared" si="1"/>
        <v>7.3220200000000011</v>
      </c>
      <c r="F15" s="427">
        <f t="shared" si="1"/>
        <v>7.0385308599999998</v>
      </c>
      <c r="G15" s="427">
        <f t="shared" si="1"/>
        <v>7.0450716800000004</v>
      </c>
      <c r="H15" s="427">
        <f t="shared" si="1"/>
        <v>7.5147788500000008</v>
      </c>
      <c r="I15" s="427">
        <f t="shared" si="1"/>
        <v>6.8478620599999989</v>
      </c>
      <c r="J15" s="427">
        <f t="shared" si="1"/>
        <v>6.7416690500000005</v>
      </c>
      <c r="K15" s="427">
        <f t="shared" si="1"/>
        <v>6.2939408000000006</v>
      </c>
      <c r="L15" s="427">
        <f t="shared" si="1"/>
        <v>6.3952530999999997</v>
      </c>
      <c r="M15" s="427">
        <f t="shared" si="1"/>
        <v>7.241261999999999</v>
      </c>
      <c r="N15" s="427">
        <f t="shared" si="1"/>
        <v>81.873063779999995</v>
      </c>
    </row>
    <row r="18" spans="1:19">
      <c r="A18" s="421" t="s">
        <v>146</v>
      </c>
      <c r="B18" s="428"/>
      <c r="C18" s="428"/>
      <c r="D18" s="428"/>
      <c r="E18" s="428"/>
      <c r="F18" s="428"/>
      <c r="G18" s="428"/>
      <c r="H18" s="428"/>
      <c r="I18" s="428"/>
      <c r="J18" s="428"/>
      <c r="K18" s="428"/>
      <c r="L18" s="428"/>
      <c r="M18" s="428"/>
    </row>
    <row r="19" spans="1:19" s="432" customFormat="1" ht="15.75">
      <c r="A19" s="430" t="s">
        <v>252</v>
      </c>
      <c r="B19" s="427" t="s">
        <v>751</v>
      </c>
      <c r="C19" s="427" t="s">
        <v>119</v>
      </c>
      <c r="D19" s="431" t="s">
        <v>752</v>
      </c>
      <c r="E19" s="427" t="s">
        <v>753</v>
      </c>
      <c r="F19" s="427" t="s">
        <v>754</v>
      </c>
      <c r="G19" s="427" t="s">
        <v>755</v>
      </c>
      <c r="H19" s="430" t="s">
        <v>252</v>
      </c>
      <c r="I19" s="427" t="s">
        <v>756</v>
      </c>
      <c r="J19" s="427" t="s">
        <v>757</v>
      </c>
      <c r="K19" s="427" t="s">
        <v>758</v>
      </c>
      <c r="L19" s="427" t="s">
        <v>759</v>
      </c>
      <c r="M19" s="427" t="s">
        <v>760</v>
      </c>
      <c r="N19" s="427" t="s">
        <v>761</v>
      </c>
      <c r="O19" s="427" t="s">
        <v>115</v>
      </c>
      <c r="Q19" s="1580" t="s">
        <v>781</v>
      </c>
      <c r="R19" s="1580" t="s">
        <v>782</v>
      </c>
      <c r="S19" s="1571" t="s">
        <v>783</v>
      </c>
    </row>
    <row r="20" spans="1:19" s="432" customFormat="1" ht="15.75">
      <c r="A20" s="439" t="s">
        <v>267</v>
      </c>
      <c r="B20" s="427"/>
      <c r="C20" s="427"/>
      <c r="D20" s="431"/>
      <c r="E20" s="427"/>
      <c r="F20" s="427"/>
      <c r="G20" s="427"/>
      <c r="H20" s="439" t="s">
        <v>267</v>
      </c>
      <c r="I20" s="427"/>
      <c r="J20" s="427"/>
      <c r="K20" s="427"/>
      <c r="L20" s="427"/>
      <c r="M20" s="427"/>
      <c r="N20" s="427"/>
      <c r="O20" s="427"/>
      <c r="Q20" s="1580"/>
      <c r="R20" s="1580"/>
      <c r="S20" s="1572"/>
    </row>
    <row r="21" spans="1:19" ht="16.5">
      <c r="A21" s="422" t="s">
        <v>776</v>
      </c>
      <c r="B21" s="423">
        <v>6.706512</v>
      </c>
      <c r="C21" s="423">
        <v>7.2681420000000001</v>
      </c>
      <c r="D21" s="424">
        <v>6.8600089999999998</v>
      </c>
      <c r="E21" s="423">
        <v>6.2050270000000003</v>
      </c>
      <c r="F21" s="423">
        <v>6.4555530000000001</v>
      </c>
      <c r="G21" s="423">
        <v>6.0681139999999996</v>
      </c>
      <c r="H21" s="433" t="s">
        <v>776</v>
      </c>
      <c r="I21" s="423">
        <v>6.1038690000000004</v>
      </c>
      <c r="J21" s="423">
        <v>5.7370320000000001</v>
      </c>
      <c r="K21" s="423">
        <v>5.8615700000000004</v>
      </c>
      <c r="L21" s="423">
        <v>5.6486200000000002</v>
      </c>
      <c r="M21" s="423">
        <v>5.4638016</v>
      </c>
      <c r="N21" s="423">
        <v>6.4950533900000007</v>
      </c>
      <c r="O21" s="427">
        <f>SUM(B21:G21)+SUM(I21:N21)</f>
        <v>74.873302990000013</v>
      </c>
      <c r="Q21" s="1580"/>
      <c r="R21" s="1580"/>
      <c r="S21" s="1573"/>
    </row>
    <row r="22" spans="1:19" ht="16.5">
      <c r="A22" s="422" t="s">
        <v>850</v>
      </c>
      <c r="B22" s="423">
        <v>0</v>
      </c>
      <c r="C22" s="423">
        <v>0</v>
      </c>
      <c r="D22" s="423">
        <v>0</v>
      </c>
      <c r="E22" s="423">
        <v>0</v>
      </c>
      <c r="F22" s="423">
        <v>0</v>
      </c>
      <c r="G22" s="423">
        <v>0</v>
      </c>
      <c r="H22" s="422" t="s">
        <v>850</v>
      </c>
      <c r="I22" s="423">
        <v>0</v>
      </c>
      <c r="J22" s="423">
        <v>0</v>
      </c>
      <c r="K22" s="423">
        <v>0</v>
      </c>
      <c r="L22" s="423">
        <v>0</v>
      </c>
      <c r="M22" s="423">
        <v>0</v>
      </c>
      <c r="N22" s="423">
        <v>0</v>
      </c>
      <c r="O22" s="423">
        <f t="shared" ref="O22:O28" si="2">SUM(B22:G22)+SUM(I22:N22)</f>
        <v>0</v>
      </c>
      <c r="Q22" s="434" t="s">
        <v>769</v>
      </c>
      <c r="R22" s="435" t="s">
        <v>769</v>
      </c>
      <c r="S22" s="434" t="s">
        <v>784</v>
      </c>
    </row>
    <row r="23" spans="1:19" ht="16.5">
      <c r="A23" s="440" t="s">
        <v>270</v>
      </c>
      <c r="B23" s="423"/>
      <c r="C23" s="423"/>
      <c r="D23" s="423"/>
      <c r="E23" s="423"/>
      <c r="F23" s="423"/>
      <c r="G23" s="423"/>
      <c r="H23" s="440" t="s">
        <v>270</v>
      </c>
      <c r="I23" s="423"/>
      <c r="J23" s="423"/>
      <c r="K23" s="423"/>
      <c r="L23" s="423"/>
      <c r="M23" s="423"/>
      <c r="N23" s="423"/>
      <c r="O23" s="423"/>
      <c r="Q23" s="434"/>
      <c r="R23" s="435"/>
      <c r="S23" s="434"/>
    </row>
    <row r="24" spans="1:19" ht="16.5">
      <c r="A24" s="422" t="s">
        <v>1017</v>
      </c>
      <c r="B24" s="423">
        <v>0</v>
      </c>
      <c r="C24" s="423">
        <v>0</v>
      </c>
      <c r="D24" s="423">
        <v>0</v>
      </c>
      <c r="E24" s="423">
        <v>0</v>
      </c>
      <c r="F24" s="423">
        <v>0</v>
      </c>
      <c r="G24" s="423">
        <v>0</v>
      </c>
      <c r="H24" s="433" t="s">
        <v>787</v>
      </c>
      <c r="I24" s="423">
        <v>0</v>
      </c>
      <c r="J24" s="423">
        <v>0</v>
      </c>
      <c r="K24" s="423">
        <v>0</v>
      </c>
      <c r="L24" s="423">
        <v>0</v>
      </c>
      <c r="M24" s="423">
        <v>0</v>
      </c>
      <c r="N24" s="423">
        <v>0</v>
      </c>
      <c r="O24" s="423">
        <f t="shared" si="2"/>
        <v>0</v>
      </c>
      <c r="Q24" s="436" t="s">
        <v>785</v>
      </c>
      <c r="R24" s="437" t="s">
        <v>785</v>
      </c>
      <c r="S24" s="436" t="s">
        <v>784</v>
      </c>
    </row>
    <row r="25" spans="1:19" ht="16.5">
      <c r="A25" s="422" t="s">
        <v>1018</v>
      </c>
      <c r="B25" s="423">
        <v>1.0271499999999999E-2</v>
      </c>
      <c r="C25" s="423">
        <v>1.0396000000000001E-2</v>
      </c>
      <c r="D25" s="423">
        <v>1.0264199999999999E-2</v>
      </c>
      <c r="E25" s="423">
        <v>8.3601999999999999E-3</v>
      </c>
      <c r="F25" s="423">
        <v>9.4656000000000028E-3</v>
      </c>
      <c r="G25" s="423">
        <v>9.2980000000000007E-3</v>
      </c>
      <c r="H25" s="433" t="s">
        <v>777</v>
      </c>
      <c r="I25" s="423">
        <v>4.2045999999999993E-2</v>
      </c>
      <c r="J25" s="423">
        <v>4.1515999999999997E-2</v>
      </c>
      <c r="K25" s="423">
        <v>4.3755699999999995E-2</v>
      </c>
      <c r="L25" s="423">
        <v>4.4017099999999997E-2</v>
      </c>
      <c r="M25" s="423">
        <v>3.9927379999999998E-2</v>
      </c>
      <c r="N25" s="423">
        <v>4.6844600000000014E-2</v>
      </c>
      <c r="O25" s="423">
        <f t="shared" si="2"/>
        <v>0.31616227999999996</v>
      </c>
      <c r="Q25" s="438" t="s">
        <v>786</v>
      </c>
      <c r="R25" s="437" t="s">
        <v>787</v>
      </c>
      <c r="S25" s="436"/>
    </row>
    <row r="26" spans="1:19" ht="16.5">
      <c r="A26" s="422" t="s">
        <v>1019</v>
      </c>
      <c r="B26" s="423">
        <v>2.64537E-2</v>
      </c>
      <c r="C26" s="423">
        <v>2.7427299999999998E-2</v>
      </c>
      <c r="D26" s="423">
        <v>2.6085799999999999E-2</v>
      </c>
      <c r="E26" s="423">
        <v>2.4583699999999997E-2</v>
      </c>
      <c r="F26" s="423">
        <v>3.4242000000000002E-2</v>
      </c>
      <c r="G26" s="423">
        <v>3.56543E-2</v>
      </c>
      <c r="H26" s="433" t="s">
        <v>778</v>
      </c>
      <c r="I26" s="423">
        <v>4.6119500000000001E-2</v>
      </c>
      <c r="J26" s="423">
        <v>4.4701300000000006E-2</v>
      </c>
      <c r="K26" s="423">
        <v>4.7200499999999999E-2</v>
      </c>
      <c r="L26" s="423">
        <v>4.8231999999999997E-2</v>
      </c>
      <c r="M26" s="423">
        <v>4.4966800000000001E-2</v>
      </c>
      <c r="N26" s="423">
        <v>5.7446300000000006E-2</v>
      </c>
      <c r="O26" s="423">
        <f t="shared" si="2"/>
        <v>0.4631132</v>
      </c>
      <c r="Q26" s="436" t="s">
        <v>765</v>
      </c>
      <c r="R26" s="437" t="s">
        <v>765</v>
      </c>
      <c r="S26" s="436" t="s">
        <v>788</v>
      </c>
    </row>
    <row r="27" spans="1:19" ht="16.5">
      <c r="A27" s="425" t="s">
        <v>1021</v>
      </c>
      <c r="B27" s="423">
        <v>2.8980800000000001E-2</v>
      </c>
      <c r="C27" s="423">
        <v>3.23453E-2</v>
      </c>
      <c r="D27" s="423">
        <v>3.0071899999999999E-2</v>
      </c>
      <c r="E27" s="423">
        <v>3.0931099999999996E-2</v>
      </c>
      <c r="F27" s="423">
        <v>3.1225900000000004E-2</v>
      </c>
      <c r="G27" s="423">
        <v>3.0342000000000001E-2</v>
      </c>
      <c r="H27" s="433" t="s">
        <v>779</v>
      </c>
      <c r="I27" s="423">
        <v>7.1479999999999992E-4</v>
      </c>
      <c r="J27" s="423">
        <v>8.25E-4</v>
      </c>
      <c r="K27" s="423">
        <v>6.8529999999999991E-4</v>
      </c>
      <c r="L27" s="423">
        <v>6.3710000000000004E-4</v>
      </c>
      <c r="M27" s="423">
        <v>5.9410000000000008E-4</v>
      </c>
      <c r="N27" s="423">
        <v>6.3739999999999999E-4</v>
      </c>
      <c r="O27" s="423">
        <f t="shared" si="2"/>
        <v>0.18799070000000001</v>
      </c>
      <c r="Q27" s="436" t="s">
        <v>766</v>
      </c>
      <c r="R27" s="1574" t="s">
        <v>766</v>
      </c>
      <c r="S27" s="1576" t="s">
        <v>789</v>
      </c>
    </row>
    <row r="28" spans="1:19" ht="16.5">
      <c r="A28" s="425" t="s">
        <v>1020</v>
      </c>
      <c r="B28" s="423">
        <v>0.60647899999999999</v>
      </c>
      <c r="C28" s="423">
        <v>0.62772499999999998</v>
      </c>
      <c r="D28" s="423">
        <v>0.61094499999999996</v>
      </c>
      <c r="E28" s="423">
        <v>0.58343800000000001</v>
      </c>
      <c r="F28" s="423">
        <v>0.60699599999999998</v>
      </c>
      <c r="G28" s="423">
        <v>0.57794299999999998</v>
      </c>
      <c r="H28" s="433" t="s">
        <v>780</v>
      </c>
      <c r="I28" s="423">
        <v>0.59385900000000003</v>
      </c>
      <c r="J28" s="423">
        <v>0.56044799999999995</v>
      </c>
      <c r="K28" s="423">
        <v>0.57417399999999996</v>
      </c>
      <c r="L28" s="423">
        <v>0.56269599999999997</v>
      </c>
      <c r="M28" s="423">
        <v>0.53230057000000008</v>
      </c>
      <c r="N28" s="423">
        <v>0.60564600000000002</v>
      </c>
      <c r="O28" s="423">
        <f t="shared" si="2"/>
        <v>7.04264957</v>
      </c>
      <c r="Q28" s="436" t="s">
        <v>790</v>
      </c>
      <c r="R28" s="1575"/>
      <c r="S28" s="1577"/>
    </row>
    <row r="29" spans="1:19" ht="15.75">
      <c r="A29" s="426"/>
      <c r="B29" s="427">
        <f t="shared" ref="B29:G29" si="3">SUM(B21:B28)</f>
        <v>7.3786970000000007</v>
      </c>
      <c r="C29" s="427">
        <f t="shared" si="3"/>
        <v>7.9660356000000005</v>
      </c>
      <c r="D29" s="427">
        <f t="shared" si="3"/>
        <v>7.5373758999999998</v>
      </c>
      <c r="E29" s="427">
        <f t="shared" si="3"/>
        <v>6.8523400000000008</v>
      </c>
      <c r="F29" s="427">
        <f t="shared" si="3"/>
        <v>7.1374825</v>
      </c>
      <c r="G29" s="427">
        <f t="shared" si="3"/>
        <v>6.7213513000000003</v>
      </c>
      <c r="H29" s="427"/>
      <c r="I29" s="427">
        <f t="shared" ref="I29:O29" si="4">SUM(I21:I28)</f>
        <v>6.7866083000000001</v>
      </c>
      <c r="J29" s="427">
        <f t="shared" si="4"/>
        <v>6.3845222999999995</v>
      </c>
      <c r="K29" s="427">
        <f t="shared" si="4"/>
        <v>6.5273855000000003</v>
      </c>
      <c r="L29" s="427">
        <f t="shared" si="4"/>
        <v>6.3042021999999989</v>
      </c>
      <c r="M29" s="427">
        <f t="shared" si="4"/>
        <v>6.0815904500000002</v>
      </c>
      <c r="N29" s="427">
        <f t="shared" si="4"/>
        <v>7.20562769</v>
      </c>
      <c r="O29" s="427">
        <f t="shared" si="4"/>
        <v>82.883218740000004</v>
      </c>
      <c r="Q29" s="436" t="s">
        <v>774</v>
      </c>
      <c r="R29" s="437" t="s">
        <v>779</v>
      </c>
      <c r="S29" s="436" t="s">
        <v>788</v>
      </c>
    </row>
    <row r="30" spans="1:19" ht="15">
      <c r="N30" s="903">
        <f>SUM(I27:N27)</f>
        <v>4.0936999999999996E-3</v>
      </c>
      <c r="Q30" s="436" t="s">
        <v>775</v>
      </c>
      <c r="R30" s="437" t="s">
        <v>780</v>
      </c>
      <c r="S30" s="436" t="s">
        <v>789</v>
      </c>
    </row>
    <row r="31" spans="1:19" ht="16.5" customHeight="1">
      <c r="G31" s="570">
        <f>+SUM(B35:G35)/SUM(B21:G21)-1</f>
        <v>4.3575978651153591E-3</v>
      </c>
      <c r="O31" s="930">
        <f>+O29/N15-1</f>
        <v>1.2338062280341511E-2</v>
      </c>
    </row>
    <row r="32" spans="1:19" ht="16.5" customHeight="1">
      <c r="A32" s="421" t="s">
        <v>147</v>
      </c>
      <c r="B32" s="428"/>
      <c r="C32" s="428"/>
      <c r="D32" s="428"/>
      <c r="E32" s="428"/>
      <c r="F32" s="428"/>
      <c r="G32" s="428"/>
      <c r="H32" s="428"/>
      <c r="I32" s="428"/>
      <c r="J32" s="428"/>
      <c r="K32" s="428"/>
      <c r="L32" s="428"/>
      <c r="M32" s="428"/>
      <c r="N32" s="428"/>
    </row>
    <row r="33" spans="1:18" ht="30.75">
      <c r="A33" s="430" t="s">
        <v>252</v>
      </c>
      <c r="B33" s="427" t="s">
        <v>751</v>
      </c>
      <c r="C33" s="427" t="s">
        <v>119</v>
      </c>
      <c r="D33" s="431" t="s">
        <v>752</v>
      </c>
      <c r="E33" s="427" t="s">
        <v>753</v>
      </c>
      <c r="F33" s="427" t="s">
        <v>754</v>
      </c>
      <c r="G33" s="427" t="s">
        <v>755</v>
      </c>
      <c r="H33" s="427" t="s">
        <v>756</v>
      </c>
      <c r="I33" s="427" t="s">
        <v>757</v>
      </c>
      <c r="J33" s="427" t="s">
        <v>758</v>
      </c>
      <c r="K33" s="427" t="s">
        <v>759</v>
      </c>
      <c r="L33" s="427" t="s">
        <v>760</v>
      </c>
      <c r="M33" s="427" t="s">
        <v>761</v>
      </c>
      <c r="N33" s="427" t="s">
        <v>115</v>
      </c>
      <c r="O33" s="647" t="s">
        <v>959</v>
      </c>
      <c r="P33" s="427" t="s">
        <v>829</v>
      </c>
      <c r="Q33" s="650" t="s">
        <v>831</v>
      </c>
      <c r="R33" s="421" t="s">
        <v>42</v>
      </c>
    </row>
    <row r="34" spans="1:18" ht="15">
      <c r="A34" s="439" t="s">
        <v>267</v>
      </c>
      <c r="B34" s="427"/>
      <c r="C34" s="427"/>
      <c r="D34" s="431"/>
      <c r="E34" s="427"/>
      <c r="F34" s="427"/>
      <c r="G34" s="427"/>
      <c r="H34" s="427"/>
      <c r="I34" s="427"/>
      <c r="J34" s="427"/>
      <c r="K34" s="427"/>
      <c r="L34" s="427"/>
      <c r="M34" s="427"/>
      <c r="N34" s="427"/>
      <c r="P34" s="427"/>
      <c r="Q34" s="649"/>
    </row>
    <row r="35" spans="1:18" ht="16.5">
      <c r="A35" s="422" t="s">
        <v>776</v>
      </c>
      <c r="B35" s="423">
        <v>6.5955370000000002</v>
      </c>
      <c r="C35" s="423">
        <v>7.2064750000000002</v>
      </c>
      <c r="D35" s="424">
        <v>6.5309400000000002</v>
      </c>
      <c r="E35" s="423">
        <v>6.7411620000000001</v>
      </c>
      <c r="F35" s="423">
        <v>6.3565365999999992</v>
      </c>
      <c r="G35" s="423">
        <v>6.3051075999999995</v>
      </c>
      <c r="H35" s="423">
        <v>6.4423884000000005</v>
      </c>
      <c r="I35" s="423">
        <v>5.8724343000000001</v>
      </c>
      <c r="J35" s="423">
        <v>5.6266949000000004</v>
      </c>
      <c r="K35" s="423">
        <v>5.7059571000000018</v>
      </c>
      <c r="L35" s="423">
        <v>5.4190079299999994</v>
      </c>
      <c r="M35" s="423">
        <v>6.4635143299999998</v>
      </c>
      <c r="N35" s="423">
        <f t="shared" ref="N35:N42" si="5">SUM(B35:M35)</f>
        <v>75.265755159999998</v>
      </c>
      <c r="O35" s="427">
        <v>42</v>
      </c>
      <c r="P35" s="649">
        <v>144152</v>
      </c>
      <c r="Q35" s="649">
        <v>102980</v>
      </c>
      <c r="R35" s="421" t="s">
        <v>791</v>
      </c>
    </row>
    <row r="36" spans="1:18" ht="16.5">
      <c r="A36" s="433" t="s">
        <v>850</v>
      </c>
      <c r="B36" s="423">
        <v>0</v>
      </c>
      <c r="C36" s="423">
        <v>0</v>
      </c>
      <c r="D36" s="423">
        <v>0</v>
      </c>
      <c r="E36" s="423">
        <v>0</v>
      </c>
      <c r="F36" s="423">
        <v>0</v>
      </c>
      <c r="G36" s="423">
        <v>0</v>
      </c>
      <c r="H36" s="423">
        <v>0</v>
      </c>
      <c r="I36" s="423">
        <v>0</v>
      </c>
      <c r="J36" s="423">
        <v>0</v>
      </c>
      <c r="K36" s="423">
        <v>0</v>
      </c>
      <c r="L36" s="423">
        <v>0</v>
      </c>
      <c r="M36" s="423">
        <v>0</v>
      </c>
      <c r="N36" s="423">
        <f t="shared" si="5"/>
        <v>0</v>
      </c>
      <c r="O36" s="427">
        <v>0</v>
      </c>
      <c r="P36" s="427"/>
      <c r="Q36" s="649"/>
      <c r="R36" s="421" t="s">
        <v>792</v>
      </c>
    </row>
    <row r="37" spans="1:18" ht="16.5">
      <c r="A37" s="440" t="s">
        <v>270</v>
      </c>
      <c r="B37" s="423"/>
      <c r="C37" s="423"/>
      <c r="D37" s="423"/>
      <c r="E37" s="423"/>
      <c r="F37" s="423"/>
      <c r="G37" s="423"/>
      <c r="H37" s="423"/>
      <c r="I37" s="423"/>
      <c r="J37" s="423"/>
      <c r="K37" s="423"/>
      <c r="L37" s="423"/>
      <c r="M37" s="423"/>
      <c r="N37" s="423"/>
      <c r="P37" s="427"/>
      <c r="Q37" s="649"/>
    </row>
    <row r="38" spans="1:18" ht="16.5">
      <c r="A38" s="433" t="s">
        <v>787</v>
      </c>
      <c r="B38" s="423">
        <v>0</v>
      </c>
      <c r="C38" s="423">
        <v>0</v>
      </c>
      <c r="D38" s="423">
        <v>0</v>
      </c>
      <c r="E38" s="423">
        <v>0</v>
      </c>
      <c r="F38" s="423">
        <v>0</v>
      </c>
      <c r="G38" s="423">
        <v>0</v>
      </c>
      <c r="H38" s="423">
        <v>0</v>
      </c>
      <c r="I38" s="423">
        <v>0</v>
      </c>
      <c r="J38" s="423">
        <v>0</v>
      </c>
      <c r="K38" s="423">
        <v>0</v>
      </c>
      <c r="L38" s="423">
        <v>0</v>
      </c>
      <c r="M38" s="423">
        <v>0</v>
      </c>
      <c r="N38" s="423">
        <f t="shared" si="5"/>
        <v>0</v>
      </c>
      <c r="P38" s="427"/>
      <c r="Q38" s="649"/>
    </row>
    <row r="39" spans="1:18" ht="16.5">
      <c r="A39" s="433" t="s">
        <v>777</v>
      </c>
      <c r="B39" s="423">
        <v>4.8169400000000001E-2</v>
      </c>
      <c r="C39" s="423">
        <v>5.1277800000000005E-2</v>
      </c>
      <c r="D39" s="423">
        <v>4.6502300000000003E-2</v>
      </c>
      <c r="E39" s="423">
        <v>4.5982400000000007E-2</v>
      </c>
      <c r="F39" s="423">
        <v>4.9305200000000007E-2</v>
      </c>
      <c r="G39" s="423">
        <v>4.9558689999999989E-2</v>
      </c>
      <c r="H39" s="423">
        <v>5.5936839999999995E-2</v>
      </c>
      <c r="I39" s="423">
        <v>5.4582799999999987E-2</v>
      </c>
      <c r="J39" s="423">
        <v>5.6597349999999998E-2</v>
      </c>
      <c r="K39" s="423">
        <v>5.6864020000000001E-2</v>
      </c>
      <c r="L39" s="423">
        <v>5.396076000000001E-2</v>
      </c>
      <c r="M39" s="423">
        <v>6.3030940000000008E-2</v>
      </c>
      <c r="N39" s="423">
        <f t="shared" si="5"/>
        <v>0.63176849999999996</v>
      </c>
      <c r="O39" s="427">
        <v>32</v>
      </c>
      <c r="P39" s="649">
        <v>0</v>
      </c>
      <c r="Q39" s="649">
        <v>0</v>
      </c>
    </row>
    <row r="40" spans="1:18" ht="16.5">
      <c r="A40" s="433" t="s">
        <v>778</v>
      </c>
      <c r="B40" s="423">
        <v>5.1265299999999993E-2</v>
      </c>
      <c r="C40" s="423">
        <v>6.0228199999999996E-2</v>
      </c>
      <c r="D40" s="423">
        <v>2.8201E-2</v>
      </c>
      <c r="E40" s="423">
        <v>3.2780400000000001E-2</v>
      </c>
      <c r="F40" s="423">
        <v>3.2915550000000002E-2</v>
      </c>
      <c r="G40" s="423">
        <v>2.4982569999999999E-2</v>
      </c>
      <c r="H40" s="423">
        <v>2.6751709999999998E-2</v>
      </c>
      <c r="I40" s="423">
        <v>2.1349799999999999E-2</v>
      </c>
      <c r="J40" s="423">
        <v>2.1438670000000003E-2</v>
      </c>
      <c r="K40" s="423">
        <v>2.3040410000000004E-2</v>
      </c>
      <c r="L40" s="423">
        <v>2.3257169999999997E-2</v>
      </c>
      <c r="M40" s="423">
        <v>2.8573219999999996E-2</v>
      </c>
      <c r="N40" s="423">
        <f t="shared" si="5"/>
        <v>0.37478400000000001</v>
      </c>
      <c r="O40" s="427">
        <v>9</v>
      </c>
      <c r="P40" s="649">
        <v>1745</v>
      </c>
      <c r="Q40" s="649">
        <v>841</v>
      </c>
    </row>
    <row r="41" spans="1:18" ht="16.5">
      <c r="A41" s="433" t="s">
        <v>779</v>
      </c>
      <c r="B41" s="423">
        <v>5.7300000000000005E-4</v>
      </c>
      <c r="C41" s="423">
        <v>5.909E-4</v>
      </c>
      <c r="D41" s="423">
        <v>6.1339999999999995E-4</v>
      </c>
      <c r="E41" s="423">
        <v>6.6760000000000007E-4</v>
      </c>
      <c r="F41" s="423">
        <v>5.9570000000000001E-4</v>
      </c>
      <c r="G41" s="423">
        <v>5.1999999999999995E-4</v>
      </c>
      <c r="H41" s="423">
        <v>4.9609999999999997E-4</v>
      </c>
      <c r="I41" s="423">
        <v>4.4189999999999995E-4</v>
      </c>
      <c r="J41" s="423">
        <v>4.7029999999999999E-4</v>
      </c>
      <c r="K41" s="423">
        <v>4.2260000000000003E-4</v>
      </c>
      <c r="L41" s="423">
        <v>4.103E-4</v>
      </c>
      <c r="M41" s="423">
        <v>4.3739999999999995E-4</v>
      </c>
      <c r="N41" s="423">
        <f t="shared" si="5"/>
        <v>6.2392000000000003E-3</v>
      </c>
      <c r="O41" s="427">
        <v>1</v>
      </c>
      <c r="P41" s="649">
        <v>0</v>
      </c>
      <c r="Q41" s="649">
        <v>0</v>
      </c>
    </row>
    <row r="42" spans="1:18" ht="16.5">
      <c r="A42" s="433" t="s">
        <v>780</v>
      </c>
      <c r="B42" s="423">
        <v>0.59220399999999995</v>
      </c>
      <c r="C42" s="423">
        <v>0.63248199999999999</v>
      </c>
      <c r="D42" s="423">
        <v>0.63260000000000005</v>
      </c>
      <c r="E42" s="423">
        <v>0.62267428000000002</v>
      </c>
      <c r="F42" s="423">
        <v>0.61777400000000005</v>
      </c>
      <c r="G42" s="423">
        <v>0.60780000000000001</v>
      </c>
      <c r="H42" s="423">
        <v>0.59256600000000004</v>
      </c>
      <c r="I42" s="423">
        <v>0.57393400000000006</v>
      </c>
      <c r="J42" s="423">
        <v>0.56000799999999995</v>
      </c>
      <c r="K42" s="423">
        <v>0.56467800000000001</v>
      </c>
      <c r="L42" s="423">
        <v>0.5278328000000001</v>
      </c>
      <c r="M42" s="423">
        <v>0.604132</v>
      </c>
      <c r="N42" s="423">
        <f t="shared" si="5"/>
        <v>7.1286850800000003</v>
      </c>
      <c r="O42" s="427">
        <v>29</v>
      </c>
      <c r="P42" s="649">
        <v>16478</v>
      </c>
      <c r="Q42" s="649">
        <v>7542</v>
      </c>
    </row>
    <row r="43" spans="1:18" ht="15">
      <c r="A43" s="427"/>
      <c r="B43" s="427">
        <f t="shared" ref="B43:Q43" si="6">SUM(B35:B42)</f>
        <v>7.2877486999999999</v>
      </c>
      <c r="C43" s="427">
        <f t="shared" si="6"/>
        <v>7.9510538999999998</v>
      </c>
      <c r="D43" s="427">
        <f t="shared" si="6"/>
        <v>7.2388567000000004</v>
      </c>
      <c r="E43" s="427">
        <f t="shared" si="6"/>
        <v>7.4432666799999998</v>
      </c>
      <c r="F43" s="427">
        <f t="shared" si="6"/>
        <v>7.0571270499999992</v>
      </c>
      <c r="G43" s="427">
        <f t="shared" si="6"/>
        <v>6.9879688599999987</v>
      </c>
      <c r="H43" s="427">
        <f t="shared" si="6"/>
        <v>7.1181390500000008</v>
      </c>
      <c r="I43" s="427">
        <f>SUM(I35:I42)</f>
        <v>6.5227428000000014</v>
      </c>
      <c r="J43" s="427">
        <f t="shared" si="6"/>
        <v>6.26520922</v>
      </c>
      <c r="K43" s="427">
        <f t="shared" si="6"/>
        <v>6.3509621300000019</v>
      </c>
      <c r="L43" s="427">
        <f t="shared" si="6"/>
        <v>6.0244689600000001</v>
      </c>
      <c r="M43" s="427">
        <f t="shared" si="6"/>
        <v>7.1596878899999998</v>
      </c>
      <c r="N43" s="427">
        <f t="shared" si="6"/>
        <v>83.407231940000003</v>
      </c>
      <c r="O43" s="427">
        <f t="shared" si="6"/>
        <v>113</v>
      </c>
      <c r="P43" s="648">
        <f t="shared" si="6"/>
        <v>162375</v>
      </c>
      <c r="Q43" s="648">
        <f t="shared" si="6"/>
        <v>111363</v>
      </c>
    </row>
    <row r="45" spans="1:18">
      <c r="N45" s="429"/>
    </row>
    <row r="46" spans="1:18">
      <c r="A46" s="421" t="s">
        <v>148</v>
      </c>
      <c r="B46" s="428"/>
      <c r="C46" s="428"/>
      <c r="D46" s="428"/>
      <c r="E46" s="428"/>
      <c r="F46" s="428"/>
      <c r="G46" s="428"/>
      <c r="H46" s="428"/>
      <c r="I46" s="428"/>
      <c r="J46" s="428"/>
      <c r="K46" s="428"/>
      <c r="L46" s="428"/>
      <c r="M46" s="428"/>
      <c r="N46" s="428"/>
    </row>
    <row r="47" spans="1:18" ht="30.75">
      <c r="A47" s="430" t="s">
        <v>252</v>
      </c>
      <c r="B47" s="427" t="s">
        <v>751</v>
      </c>
      <c r="C47" s="427" t="s">
        <v>119</v>
      </c>
      <c r="D47" s="431" t="s">
        <v>752</v>
      </c>
      <c r="E47" s="427" t="s">
        <v>753</v>
      </c>
      <c r="F47" s="427" t="s">
        <v>754</v>
      </c>
      <c r="G47" s="427" t="s">
        <v>755</v>
      </c>
      <c r="H47" s="427" t="s">
        <v>756</v>
      </c>
      <c r="I47" s="427" t="s">
        <v>757</v>
      </c>
      <c r="J47" s="427" t="s">
        <v>758</v>
      </c>
      <c r="K47" s="427" t="s">
        <v>759</v>
      </c>
      <c r="L47" s="427" t="s">
        <v>760</v>
      </c>
      <c r="M47" s="427" t="s">
        <v>761</v>
      </c>
      <c r="N47" s="427" t="s">
        <v>115</v>
      </c>
      <c r="O47" s="647" t="s">
        <v>959</v>
      </c>
      <c r="P47" s="427" t="s">
        <v>829</v>
      </c>
      <c r="Q47" s="650" t="s">
        <v>831</v>
      </c>
      <c r="R47" s="421" t="s">
        <v>42</v>
      </c>
    </row>
    <row r="48" spans="1:18" ht="15">
      <c r="A48" s="439" t="s">
        <v>267</v>
      </c>
      <c r="B48" s="427"/>
      <c r="C48" s="427"/>
      <c r="D48" s="431"/>
      <c r="E48" s="427"/>
      <c r="F48" s="427"/>
      <c r="G48" s="427"/>
      <c r="H48" s="427"/>
      <c r="I48" s="427"/>
      <c r="J48" s="427"/>
      <c r="K48" s="427"/>
      <c r="L48" s="427"/>
      <c r="M48" s="427"/>
      <c r="N48" s="427"/>
      <c r="P48" s="427"/>
      <c r="Q48" s="649"/>
    </row>
    <row r="49" spans="1:18" ht="16.5">
      <c r="A49" s="433" t="s">
        <v>776</v>
      </c>
      <c r="B49" s="423">
        <f>B35*1.01+0.3</f>
        <v>6.9614923700000002</v>
      </c>
      <c r="C49" s="423">
        <f t="shared" ref="C49:M49" si="7">C35*1.01+0.3</f>
        <v>7.57853975</v>
      </c>
      <c r="D49" s="423">
        <f t="shared" si="7"/>
        <v>6.8962494000000003</v>
      </c>
      <c r="E49" s="423">
        <f t="shared" si="7"/>
        <v>7.1085736199999996</v>
      </c>
      <c r="F49" s="423">
        <f t="shared" si="7"/>
        <v>6.7201019659999988</v>
      </c>
      <c r="G49" s="423">
        <f t="shared" si="7"/>
        <v>6.6681586759999991</v>
      </c>
      <c r="H49" s="423">
        <f t="shared" si="7"/>
        <v>6.8068122840000003</v>
      </c>
      <c r="I49" s="423">
        <f t="shared" si="7"/>
        <v>6.2311586429999997</v>
      </c>
      <c r="J49" s="423">
        <f t="shared" si="7"/>
        <v>5.9829618490000005</v>
      </c>
      <c r="K49" s="423">
        <f t="shared" si="7"/>
        <v>6.0630166710000015</v>
      </c>
      <c r="L49" s="423">
        <f t="shared" si="7"/>
        <v>5.7731980092999988</v>
      </c>
      <c r="M49" s="423">
        <f t="shared" si="7"/>
        <v>6.8281494732999999</v>
      </c>
      <c r="N49" s="423">
        <f t="shared" ref="N49:N56" si="8">SUM(B49:M49)</f>
        <v>79.618412711600016</v>
      </c>
      <c r="O49" s="427">
        <f>42+3</f>
        <v>45</v>
      </c>
      <c r="P49" s="649">
        <f>144152+1000</f>
        <v>145152</v>
      </c>
      <c r="Q49" s="649">
        <f>102980+800</f>
        <v>103780</v>
      </c>
      <c r="R49" s="421" t="s">
        <v>793</v>
      </c>
    </row>
    <row r="50" spans="1:18" ht="16.5">
      <c r="A50" s="433" t="s">
        <v>850</v>
      </c>
      <c r="B50" s="423">
        <f>B36*1.01</f>
        <v>0</v>
      </c>
      <c r="C50" s="423">
        <f>C36*1.01</f>
        <v>0</v>
      </c>
      <c r="D50" s="423">
        <f>D36*1.01+0.5</f>
        <v>0.5</v>
      </c>
      <c r="E50" s="423">
        <f t="shared" ref="E50:M50" si="9">E36*1.01+0.5</f>
        <v>0.5</v>
      </c>
      <c r="F50" s="423">
        <f t="shared" si="9"/>
        <v>0.5</v>
      </c>
      <c r="G50" s="423">
        <f t="shared" si="9"/>
        <v>0.5</v>
      </c>
      <c r="H50" s="423">
        <f t="shared" si="9"/>
        <v>0.5</v>
      </c>
      <c r="I50" s="423">
        <f t="shared" si="9"/>
        <v>0.5</v>
      </c>
      <c r="J50" s="423">
        <f t="shared" si="9"/>
        <v>0.5</v>
      </c>
      <c r="K50" s="423">
        <f t="shared" si="9"/>
        <v>0.5</v>
      </c>
      <c r="L50" s="423">
        <f t="shared" si="9"/>
        <v>0.5</v>
      </c>
      <c r="M50" s="423">
        <f t="shared" si="9"/>
        <v>0.5</v>
      </c>
      <c r="N50" s="423">
        <f t="shared" si="8"/>
        <v>5</v>
      </c>
      <c r="O50" s="427">
        <v>1</v>
      </c>
      <c r="P50" s="648">
        <v>1000</v>
      </c>
      <c r="Q50" s="648">
        <v>800</v>
      </c>
      <c r="R50" s="421" t="s">
        <v>794</v>
      </c>
    </row>
    <row r="51" spans="1:18" ht="16.5">
      <c r="A51" s="440" t="s">
        <v>270</v>
      </c>
      <c r="B51" s="423"/>
      <c r="C51" s="423"/>
      <c r="D51" s="423"/>
      <c r="E51" s="423"/>
      <c r="F51" s="423"/>
      <c r="G51" s="423"/>
      <c r="H51" s="423"/>
      <c r="I51" s="423"/>
      <c r="J51" s="423"/>
      <c r="K51" s="423"/>
      <c r="L51" s="423"/>
      <c r="M51" s="423"/>
      <c r="N51" s="423"/>
      <c r="P51" s="427"/>
      <c r="Q51" s="649"/>
    </row>
    <row r="52" spans="1:18" ht="16.5">
      <c r="A52" s="433" t="s">
        <v>787</v>
      </c>
      <c r="B52" s="423">
        <f t="shared" ref="B52:M52" si="10">B38*1.01</f>
        <v>0</v>
      </c>
      <c r="C52" s="423">
        <f t="shared" si="10"/>
        <v>0</v>
      </c>
      <c r="D52" s="423">
        <f t="shared" si="10"/>
        <v>0</v>
      </c>
      <c r="E52" s="423">
        <f t="shared" si="10"/>
        <v>0</v>
      </c>
      <c r="F52" s="423">
        <f t="shared" si="10"/>
        <v>0</v>
      </c>
      <c r="G52" s="423">
        <f t="shared" si="10"/>
        <v>0</v>
      </c>
      <c r="H52" s="423">
        <f t="shared" si="10"/>
        <v>0</v>
      </c>
      <c r="I52" s="423">
        <f t="shared" si="10"/>
        <v>0</v>
      </c>
      <c r="J52" s="423">
        <f t="shared" si="10"/>
        <v>0</v>
      </c>
      <c r="K52" s="423">
        <f t="shared" si="10"/>
        <v>0</v>
      </c>
      <c r="L52" s="423">
        <f t="shared" si="10"/>
        <v>0</v>
      </c>
      <c r="M52" s="423">
        <f t="shared" si="10"/>
        <v>0</v>
      </c>
      <c r="N52" s="423">
        <f t="shared" si="8"/>
        <v>0</v>
      </c>
      <c r="P52" s="427"/>
      <c r="Q52" s="649"/>
      <c r="R52" s="421" t="s">
        <v>795</v>
      </c>
    </row>
    <row r="53" spans="1:18" ht="16.5">
      <c r="A53" s="433" t="s">
        <v>777</v>
      </c>
      <c r="B53" s="423">
        <f>B39*1.01</f>
        <v>4.8651093999999999E-2</v>
      </c>
      <c r="C53" s="423">
        <f t="shared" ref="C53:M53" si="11">C39*1.01</f>
        <v>5.1790578000000004E-2</v>
      </c>
      <c r="D53" s="423">
        <f t="shared" si="11"/>
        <v>4.6967323000000005E-2</v>
      </c>
      <c r="E53" s="423">
        <f t="shared" si="11"/>
        <v>4.6442224000000004E-2</v>
      </c>
      <c r="F53" s="423">
        <f t="shared" si="11"/>
        <v>4.9798252000000008E-2</v>
      </c>
      <c r="G53" s="423">
        <f t="shared" si="11"/>
        <v>5.0054276899999986E-2</v>
      </c>
      <c r="H53" s="423">
        <f t="shared" si="11"/>
        <v>5.6496208399999998E-2</v>
      </c>
      <c r="I53" s="423">
        <f t="shared" si="11"/>
        <v>5.5128627999999985E-2</v>
      </c>
      <c r="J53" s="423">
        <f t="shared" si="11"/>
        <v>5.7163323499999995E-2</v>
      </c>
      <c r="K53" s="423">
        <f t="shared" si="11"/>
        <v>5.7432660199999999E-2</v>
      </c>
      <c r="L53" s="423">
        <f t="shared" si="11"/>
        <v>5.4500367600000009E-2</v>
      </c>
      <c r="M53" s="423">
        <f t="shared" si="11"/>
        <v>6.3661249400000008E-2</v>
      </c>
      <c r="N53" s="423">
        <f t="shared" si="8"/>
        <v>0.63808618499999992</v>
      </c>
      <c r="O53" s="427">
        <v>32</v>
      </c>
      <c r="P53" s="649">
        <v>0</v>
      </c>
      <c r="Q53" s="649">
        <v>0</v>
      </c>
    </row>
    <row r="54" spans="1:18" ht="16.5">
      <c r="A54" s="433" t="s">
        <v>778</v>
      </c>
      <c r="B54" s="423">
        <f>B40*1.01</f>
        <v>5.1777952999999995E-2</v>
      </c>
      <c r="C54" s="423">
        <f t="shared" ref="C54:M54" si="12">C40*1.01</f>
        <v>6.0830481999999998E-2</v>
      </c>
      <c r="D54" s="423">
        <f t="shared" si="12"/>
        <v>2.848301E-2</v>
      </c>
      <c r="E54" s="423">
        <f t="shared" si="12"/>
        <v>3.3108204000000002E-2</v>
      </c>
      <c r="F54" s="423">
        <f t="shared" si="12"/>
        <v>3.3244705499999999E-2</v>
      </c>
      <c r="G54" s="423">
        <f t="shared" si="12"/>
        <v>2.52323957E-2</v>
      </c>
      <c r="H54" s="423">
        <f t="shared" si="12"/>
        <v>2.7019227099999998E-2</v>
      </c>
      <c r="I54" s="423">
        <f t="shared" si="12"/>
        <v>2.1563297999999998E-2</v>
      </c>
      <c r="J54" s="423">
        <f t="shared" si="12"/>
        <v>2.1653056700000003E-2</v>
      </c>
      <c r="K54" s="423">
        <f t="shared" si="12"/>
        <v>2.3270814100000006E-2</v>
      </c>
      <c r="L54" s="423">
        <f t="shared" si="12"/>
        <v>2.3489741699999997E-2</v>
      </c>
      <c r="M54" s="423">
        <f t="shared" si="12"/>
        <v>2.8858952199999996E-2</v>
      </c>
      <c r="N54" s="423">
        <f t="shared" si="8"/>
        <v>0.37853184000000001</v>
      </c>
      <c r="O54" s="427">
        <v>9</v>
      </c>
      <c r="P54" s="649">
        <v>1745</v>
      </c>
      <c r="Q54" s="649">
        <v>841</v>
      </c>
    </row>
    <row r="55" spans="1:18" ht="16.5">
      <c r="A55" s="433" t="s">
        <v>779</v>
      </c>
      <c r="B55" s="423">
        <f>B41*1.01</f>
        <v>5.7873000000000006E-4</v>
      </c>
      <c r="C55" s="423">
        <f t="shared" ref="C55:M55" si="13">C41*1.01</f>
        <v>5.9680900000000001E-4</v>
      </c>
      <c r="D55" s="423">
        <f t="shared" si="13"/>
        <v>6.1953399999999993E-4</v>
      </c>
      <c r="E55" s="423">
        <f t="shared" si="13"/>
        <v>6.7427600000000013E-4</v>
      </c>
      <c r="F55" s="423">
        <f t="shared" si="13"/>
        <v>6.0165700000000002E-4</v>
      </c>
      <c r="G55" s="423">
        <f t="shared" si="13"/>
        <v>5.2519999999999997E-4</v>
      </c>
      <c r="H55" s="423">
        <f t="shared" si="13"/>
        <v>5.0106100000000002E-4</v>
      </c>
      <c r="I55" s="423">
        <f t="shared" si="13"/>
        <v>4.4631899999999998E-4</v>
      </c>
      <c r="J55" s="423">
        <f t="shared" si="13"/>
        <v>4.7500299999999999E-4</v>
      </c>
      <c r="K55" s="423">
        <f t="shared" si="13"/>
        <v>4.2682600000000005E-4</v>
      </c>
      <c r="L55" s="423">
        <f t="shared" si="13"/>
        <v>4.1440299999999998E-4</v>
      </c>
      <c r="M55" s="423">
        <f t="shared" si="13"/>
        <v>4.4177399999999998E-4</v>
      </c>
      <c r="N55" s="423">
        <f t="shared" si="8"/>
        <v>6.3015919999999991E-3</v>
      </c>
      <c r="O55" s="427">
        <v>1</v>
      </c>
      <c r="P55" s="649">
        <v>0</v>
      </c>
      <c r="Q55" s="649">
        <v>0</v>
      </c>
    </row>
    <row r="56" spans="1:18" ht="16.5">
      <c r="A56" s="433" t="s">
        <v>780</v>
      </c>
      <c r="B56" s="423">
        <f>B42*1.01</f>
        <v>0.59812603999999991</v>
      </c>
      <c r="C56" s="423">
        <f t="shared" ref="C56:M56" si="14">C42*1.01</f>
        <v>0.63880682</v>
      </c>
      <c r="D56" s="423">
        <f t="shared" si="14"/>
        <v>0.6389260000000001</v>
      </c>
      <c r="E56" s="423">
        <f t="shared" si="14"/>
        <v>0.62890102280000004</v>
      </c>
      <c r="F56" s="423">
        <f t="shared" si="14"/>
        <v>0.62395174000000009</v>
      </c>
      <c r="G56" s="423">
        <f t="shared" si="14"/>
        <v>0.61387800000000003</v>
      </c>
      <c r="H56" s="423">
        <f t="shared" si="14"/>
        <v>0.59849166000000009</v>
      </c>
      <c r="I56" s="423">
        <f t="shared" si="14"/>
        <v>0.57967334000000004</v>
      </c>
      <c r="J56" s="423">
        <f t="shared" si="14"/>
        <v>0.56560807999999996</v>
      </c>
      <c r="K56" s="423">
        <f t="shared" si="14"/>
        <v>0.57032477999999998</v>
      </c>
      <c r="L56" s="423">
        <f t="shared" si="14"/>
        <v>0.53311112800000016</v>
      </c>
      <c r="M56" s="423">
        <f t="shared" si="14"/>
        <v>0.61017332000000002</v>
      </c>
      <c r="N56" s="423">
        <f t="shared" si="8"/>
        <v>7.1999719308000003</v>
      </c>
      <c r="O56" s="427">
        <v>29</v>
      </c>
      <c r="P56" s="649">
        <v>16478</v>
      </c>
      <c r="Q56" s="649">
        <v>7542</v>
      </c>
    </row>
    <row r="57" spans="1:18" ht="15">
      <c r="A57" s="427"/>
      <c r="B57" s="427">
        <f>SUM(B49:B56)</f>
        <v>7.6606261870000001</v>
      </c>
      <c r="C57" s="427">
        <f t="shared" ref="C57:Q57" si="15">SUM(C49:C56)</f>
        <v>8.3305644389999998</v>
      </c>
      <c r="D57" s="427">
        <f t="shared" si="15"/>
        <v>8.111245267000001</v>
      </c>
      <c r="E57" s="427">
        <f t="shared" si="15"/>
        <v>8.3176993467999996</v>
      </c>
      <c r="F57" s="427">
        <f t="shared" si="15"/>
        <v>7.9276983204999985</v>
      </c>
      <c r="G57" s="427">
        <f t="shared" si="15"/>
        <v>7.8578485485999989</v>
      </c>
      <c r="H57" s="427">
        <f t="shared" si="15"/>
        <v>7.9893204405000002</v>
      </c>
      <c r="I57" s="427">
        <f t="shared" si="15"/>
        <v>7.3879702280000004</v>
      </c>
      <c r="J57" s="427">
        <f t="shared" si="15"/>
        <v>7.1278613122000003</v>
      </c>
      <c r="K57" s="427">
        <f t="shared" si="15"/>
        <v>7.2144717513000014</v>
      </c>
      <c r="L57" s="427">
        <f t="shared" si="15"/>
        <v>6.8847136495999983</v>
      </c>
      <c r="M57" s="427">
        <f t="shared" si="15"/>
        <v>8.0312847688999991</v>
      </c>
      <c r="N57" s="427">
        <f t="shared" si="15"/>
        <v>92.841304259400019</v>
      </c>
      <c r="O57" s="427">
        <f t="shared" si="15"/>
        <v>117</v>
      </c>
      <c r="P57" s="648">
        <f t="shared" si="15"/>
        <v>164375</v>
      </c>
      <c r="Q57" s="648">
        <f t="shared" si="15"/>
        <v>112963</v>
      </c>
    </row>
    <row r="60" spans="1:18">
      <c r="A60" s="421" t="s">
        <v>149</v>
      </c>
      <c r="B60" s="428"/>
      <c r="C60" s="428"/>
      <c r="D60" s="428"/>
      <c r="E60" s="428"/>
      <c r="F60" s="428"/>
      <c r="G60" s="428"/>
      <c r="H60" s="428"/>
      <c r="I60" s="428"/>
      <c r="J60" s="428"/>
      <c r="K60" s="428"/>
      <c r="L60" s="428"/>
      <c r="M60" s="428"/>
      <c r="N60" s="428"/>
    </row>
    <row r="61" spans="1:18" ht="30.75">
      <c r="A61" s="430" t="s">
        <v>252</v>
      </c>
      <c r="B61" s="427" t="s">
        <v>751</v>
      </c>
      <c r="C61" s="427" t="s">
        <v>119</v>
      </c>
      <c r="D61" s="1253" t="s">
        <v>752</v>
      </c>
      <c r="E61" s="427" t="s">
        <v>753</v>
      </c>
      <c r="F61" s="427" t="s">
        <v>754</v>
      </c>
      <c r="G61" s="427" t="s">
        <v>755</v>
      </c>
      <c r="H61" s="427" t="s">
        <v>756</v>
      </c>
      <c r="I61" s="427" t="s">
        <v>757</v>
      </c>
      <c r="J61" s="427" t="s">
        <v>758</v>
      </c>
      <c r="K61" s="427" t="s">
        <v>759</v>
      </c>
      <c r="L61" s="427" t="s">
        <v>760</v>
      </c>
      <c r="M61" s="427" t="s">
        <v>761</v>
      </c>
      <c r="N61" s="427" t="s">
        <v>115</v>
      </c>
      <c r="O61" s="647" t="s">
        <v>959</v>
      </c>
      <c r="P61" s="427" t="s">
        <v>829</v>
      </c>
      <c r="Q61" s="650" t="s">
        <v>831</v>
      </c>
      <c r="R61" s="421" t="s">
        <v>42</v>
      </c>
    </row>
    <row r="62" spans="1:18" ht="15">
      <c r="A62" s="439" t="s">
        <v>267</v>
      </c>
      <c r="B62" s="427"/>
      <c r="C62" s="427"/>
      <c r="D62" s="431"/>
      <c r="E62" s="427"/>
      <c r="F62" s="427"/>
      <c r="G62" s="427"/>
      <c r="H62" s="427"/>
      <c r="I62" s="427"/>
      <c r="J62" s="427"/>
      <c r="K62" s="427"/>
      <c r="L62" s="427"/>
      <c r="M62" s="427"/>
      <c r="N62" s="427"/>
      <c r="P62" s="427"/>
      <c r="Q62" s="649"/>
    </row>
    <row r="63" spans="1:18" ht="16.5">
      <c r="A63" s="433" t="s">
        <v>776</v>
      </c>
      <c r="B63" s="423">
        <f>B49*1.01</f>
        <v>7.0311072936999999</v>
      </c>
      <c r="C63" s="423">
        <f t="shared" ref="C63:M63" si="16">C49*1.01</f>
        <v>7.6543251474999998</v>
      </c>
      <c r="D63" s="423">
        <f t="shared" si="16"/>
        <v>6.9652118940000003</v>
      </c>
      <c r="E63" s="423">
        <f t="shared" si="16"/>
        <v>7.1796593561999993</v>
      </c>
      <c r="F63" s="423">
        <f t="shared" si="16"/>
        <v>6.7873029856599985</v>
      </c>
      <c r="G63" s="423">
        <f t="shared" si="16"/>
        <v>6.7348402627599988</v>
      </c>
      <c r="H63" s="423">
        <f t="shared" si="16"/>
        <v>6.87488040684</v>
      </c>
      <c r="I63" s="423">
        <f t="shared" si="16"/>
        <v>6.2934702294299996</v>
      </c>
      <c r="J63" s="423">
        <f t="shared" si="16"/>
        <v>6.0427914674900007</v>
      </c>
      <c r="K63" s="423">
        <f t="shared" si="16"/>
        <v>6.1236468377100017</v>
      </c>
      <c r="L63" s="423">
        <f t="shared" si="16"/>
        <v>5.8309299893929989</v>
      </c>
      <c r="M63" s="423">
        <f t="shared" si="16"/>
        <v>6.896430968033</v>
      </c>
      <c r="N63" s="423">
        <f t="shared" ref="N63:N70" si="17">SUM(B63:M63)</f>
        <v>80.414596838715994</v>
      </c>
      <c r="O63" s="427">
        <f>O49</f>
        <v>45</v>
      </c>
      <c r="P63" s="427">
        <f t="shared" ref="P63:Q63" si="18">P49</f>
        <v>145152</v>
      </c>
      <c r="Q63" s="427">
        <f t="shared" si="18"/>
        <v>103780</v>
      </c>
      <c r="R63" s="421" t="s">
        <v>960</v>
      </c>
    </row>
    <row r="64" spans="1:18" ht="16.5">
      <c r="A64" s="433" t="s">
        <v>850</v>
      </c>
      <c r="B64" s="423">
        <f>0.5</f>
        <v>0.5</v>
      </c>
      <c r="C64" s="423">
        <f>0.5</f>
        <v>0.5</v>
      </c>
      <c r="D64" s="423">
        <f t="shared" ref="D64:M64" si="19">D50</f>
        <v>0.5</v>
      </c>
      <c r="E64" s="423">
        <f t="shared" si="19"/>
        <v>0.5</v>
      </c>
      <c r="F64" s="423">
        <f t="shared" si="19"/>
        <v>0.5</v>
      </c>
      <c r="G64" s="423">
        <f t="shared" si="19"/>
        <v>0.5</v>
      </c>
      <c r="H64" s="423">
        <f t="shared" si="19"/>
        <v>0.5</v>
      </c>
      <c r="I64" s="423">
        <f t="shared" si="19"/>
        <v>0.5</v>
      </c>
      <c r="J64" s="423">
        <f t="shared" si="19"/>
        <v>0.5</v>
      </c>
      <c r="K64" s="423">
        <f t="shared" si="19"/>
        <v>0.5</v>
      </c>
      <c r="L64" s="423">
        <f t="shared" si="19"/>
        <v>0.5</v>
      </c>
      <c r="M64" s="423">
        <f t="shared" si="19"/>
        <v>0.5</v>
      </c>
      <c r="N64" s="423">
        <f t="shared" si="17"/>
        <v>6</v>
      </c>
      <c r="O64" s="427">
        <f t="shared" ref="O64:Q64" si="20">O50</f>
        <v>1</v>
      </c>
      <c r="P64" s="427">
        <f t="shared" si="20"/>
        <v>1000</v>
      </c>
      <c r="Q64" s="427">
        <f t="shared" si="20"/>
        <v>800</v>
      </c>
      <c r="R64" s="421" t="s">
        <v>794</v>
      </c>
    </row>
    <row r="65" spans="1:17" ht="16.5">
      <c r="A65" s="440" t="s">
        <v>270</v>
      </c>
      <c r="B65" s="423"/>
      <c r="C65" s="423"/>
      <c r="D65" s="423"/>
      <c r="E65" s="423"/>
      <c r="F65" s="423"/>
      <c r="G65" s="423"/>
      <c r="H65" s="423"/>
      <c r="I65" s="423"/>
      <c r="J65" s="423"/>
      <c r="K65" s="423"/>
      <c r="L65" s="423"/>
      <c r="M65" s="423"/>
      <c r="N65" s="423"/>
      <c r="O65" s="427">
        <f t="shared" ref="O65:Q65" si="21">O51</f>
        <v>0</v>
      </c>
      <c r="P65" s="427">
        <f t="shared" si="21"/>
        <v>0</v>
      </c>
      <c r="Q65" s="427">
        <f t="shared" si="21"/>
        <v>0</v>
      </c>
    </row>
    <row r="66" spans="1:17" ht="16.5">
      <c r="A66" s="433" t="s">
        <v>787</v>
      </c>
      <c r="B66" s="423">
        <f t="shared" ref="B66:M66" si="22">B52*1.01</f>
        <v>0</v>
      </c>
      <c r="C66" s="423">
        <f t="shared" si="22"/>
        <v>0</v>
      </c>
      <c r="D66" s="423">
        <f t="shared" si="22"/>
        <v>0</v>
      </c>
      <c r="E66" s="423">
        <f t="shared" si="22"/>
        <v>0</v>
      </c>
      <c r="F66" s="423">
        <f t="shared" si="22"/>
        <v>0</v>
      </c>
      <c r="G66" s="423">
        <f t="shared" si="22"/>
        <v>0</v>
      </c>
      <c r="H66" s="423">
        <f t="shared" si="22"/>
        <v>0</v>
      </c>
      <c r="I66" s="423">
        <f t="shared" si="22"/>
        <v>0</v>
      </c>
      <c r="J66" s="423">
        <f t="shared" si="22"/>
        <v>0</v>
      </c>
      <c r="K66" s="423">
        <f t="shared" si="22"/>
        <v>0</v>
      </c>
      <c r="L66" s="423">
        <f t="shared" si="22"/>
        <v>0</v>
      </c>
      <c r="M66" s="423">
        <f t="shared" si="22"/>
        <v>0</v>
      </c>
      <c r="N66" s="423">
        <f t="shared" si="17"/>
        <v>0</v>
      </c>
      <c r="O66" s="427">
        <f t="shared" ref="O66:Q66" si="23">O52</f>
        <v>0</v>
      </c>
      <c r="P66" s="427">
        <f t="shared" si="23"/>
        <v>0</v>
      </c>
      <c r="Q66" s="427">
        <f t="shared" si="23"/>
        <v>0</v>
      </c>
    </row>
    <row r="67" spans="1:17" ht="16.5">
      <c r="A67" s="433" t="s">
        <v>777</v>
      </c>
      <c r="B67" s="423">
        <f t="shared" ref="B67:M67" si="24">B53*1.01</f>
        <v>4.9137604939999996E-2</v>
      </c>
      <c r="C67" s="423">
        <f t="shared" si="24"/>
        <v>5.2308483780000005E-2</v>
      </c>
      <c r="D67" s="423">
        <f t="shared" si="24"/>
        <v>4.7436996230000007E-2</v>
      </c>
      <c r="E67" s="423">
        <f t="shared" si="24"/>
        <v>4.6906646240000002E-2</v>
      </c>
      <c r="F67" s="423">
        <f t="shared" si="24"/>
        <v>5.029623452000001E-2</v>
      </c>
      <c r="G67" s="423">
        <f t="shared" si="24"/>
        <v>5.0554819668999988E-2</v>
      </c>
      <c r="H67" s="423">
        <f t="shared" si="24"/>
        <v>5.7061170484000001E-2</v>
      </c>
      <c r="I67" s="423">
        <f t="shared" si="24"/>
        <v>5.5679914279999985E-2</v>
      </c>
      <c r="J67" s="423">
        <f t="shared" si="24"/>
        <v>5.7734956734999995E-2</v>
      </c>
      <c r="K67" s="423">
        <f t="shared" si="24"/>
        <v>5.8006986801999998E-2</v>
      </c>
      <c r="L67" s="423">
        <f t="shared" si="24"/>
        <v>5.504537127600001E-2</v>
      </c>
      <c r="M67" s="423">
        <f t="shared" si="24"/>
        <v>6.4297861894000011E-2</v>
      </c>
      <c r="N67" s="423">
        <f t="shared" si="17"/>
        <v>0.64446704685</v>
      </c>
      <c r="O67" s="427">
        <f t="shared" ref="O67:Q67" si="25">O53</f>
        <v>32</v>
      </c>
      <c r="P67" s="427">
        <f t="shared" si="25"/>
        <v>0</v>
      </c>
      <c r="Q67" s="427">
        <f t="shared" si="25"/>
        <v>0</v>
      </c>
    </row>
    <row r="68" spans="1:17" ht="16.5">
      <c r="A68" s="433" t="s">
        <v>778</v>
      </c>
      <c r="B68" s="423">
        <f t="shared" ref="B68:M68" si="26">B54*1.01</f>
        <v>5.2295732529999993E-2</v>
      </c>
      <c r="C68" s="423">
        <f t="shared" si="26"/>
        <v>6.1438786820000001E-2</v>
      </c>
      <c r="D68" s="423">
        <f t="shared" si="26"/>
        <v>2.8767840100000001E-2</v>
      </c>
      <c r="E68" s="423">
        <f t="shared" si="26"/>
        <v>3.3439286040000002E-2</v>
      </c>
      <c r="F68" s="423">
        <f t="shared" si="26"/>
        <v>3.3577152554999996E-2</v>
      </c>
      <c r="G68" s="423">
        <f t="shared" si="26"/>
        <v>2.5484719656999999E-2</v>
      </c>
      <c r="H68" s="423">
        <f t="shared" si="26"/>
        <v>2.7289419370999997E-2</v>
      </c>
      <c r="I68" s="423">
        <f t="shared" si="26"/>
        <v>2.177893098E-2</v>
      </c>
      <c r="J68" s="423">
        <f t="shared" si="26"/>
        <v>2.1869587267000001E-2</v>
      </c>
      <c r="K68" s="423">
        <f t="shared" si="26"/>
        <v>2.3503522241000007E-2</v>
      </c>
      <c r="L68" s="423">
        <f t="shared" si="26"/>
        <v>2.3724639116999999E-2</v>
      </c>
      <c r="M68" s="423">
        <f t="shared" si="26"/>
        <v>2.9147541721999997E-2</v>
      </c>
      <c r="N68" s="423">
        <f t="shared" si="17"/>
        <v>0.38231715840000002</v>
      </c>
      <c r="O68" s="427">
        <f t="shared" ref="O68:Q68" si="27">O54</f>
        <v>9</v>
      </c>
      <c r="P68" s="427">
        <f t="shared" si="27"/>
        <v>1745</v>
      </c>
      <c r="Q68" s="427">
        <f t="shared" si="27"/>
        <v>841</v>
      </c>
    </row>
    <row r="69" spans="1:17" ht="16.5">
      <c r="A69" s="433" t="s">
        <v>779</v>
      </c>
      <c r="B69" s="423">
        <f t="shared" ref="B69:M69" si="28">B55*1.01</f>
        <v>5.845173000000001E-4</v>
      </c>
      <c r="C69" s="423">
        <f t="shared" si="28"/>
        <v>6.0277709000000005E-4</v>
      </c>
      <c r="D69" s="423">
        <f t="shared" si="28"/>
        <v>6.2572933999999994E-4</v>
      </c>
      <c r="E69" s="423">
        <f t="shared" si="28"/>
        <v>6.8101876000000014E-4</v>
      </c>
      <c r="F69" s="423">
        <f t="shared" si="28"/>
        <v>6.0767356999999998E-4</v>
      </c>
      <c r="G69" s="423">
        <f t="shared" si="28"/>
        <v>5.3045199999999994E-4</v>
      </c>
      <c r="H69" s="423">
        <f t="shared" si="28"/>
        <v>5.0607161000000003E-4</v>
      </c>
      <c r="I69" s="423">
        <f t="shared" si="28"/>
        <v>4.5078218999999999E-4</v>
      </c>
      <c r="J69" s="423">
        <f t="shared" si="28"/>
        <v>4.7975303000000001E-4</v>
      </c>
      <c r="K69" s="423">
        <f t="shared" si="28"/>
        <v>4.3109426000000008E-4</v>
      </c>
      <c r="L69" s="423">
        <f t="shared" si="28"/>
        <v>4.1854703E-4</v>
      </c>
      <c r="M69" s="423">
        <f t="shared" si="28"/>
        <v>4.4619174E-4</v>
      </c>
      <c r="N69" s="423">
        <f t="shared" si="17"/>
        <v>6.3646079200000002E-3</v>
      </c>
      <c r="O69" s="427">
        <f t="shared" ref="O69:Q69" si="29">O55</f>
        <v>1</v>
      </c>
      <c r="P69" s="427">
        <f t="shared" si="29"/>
        <v>0</v>
      </c>
      <c r="Q69" s="427">
        <f t="shared" si="29"/>
        <v>0</v>
      </c>
    </row>
    <row r="70" spans="1:17" ht="16.5">
      <c r="A70" s="433" t="s">
        <v>780</v>
      </c>
      <c r="B70" s="423">
        <f t="shared" ref="B70:M70" si="30">B56*1.01</f>
        <v>0.60410730039999994</v>
      </c>
      <c r="C70" s="423">
        <f t="shared" si="30"/>
        <v>0.64519488820000004</v>
      </c>
      <c r="D70" s="423">
        <f t="shared" si="30"/>
        <v>0.64531526000000006</v>
      </c>
      <c r="E70" s="423">
        <f t="shared" si="30"/>
        <v>0.63519003302800003</v>
      </c>
      <c r="F70" s="423">
        <f t="shared" si="30"/>
        <v>0.63019125740000015</v>
      </c>
      <c r="G70" s="423">
        <f t="shared" si="30"/>
        <v>0.62001678000000005</v>
      </c>
      <c r="H70" s="423">
        <f t="shared" si="30"/>
        <v>0.60447657660000009</v>
      </c>
      <c r="I70" s="423">
        <f t="shared" si="30"/>
        <v>0.58547007340000001</v>
      </c>
      <c r="J70" s="423">
        <f t="shared" si="30"/>
        <v>0.57126416079999998</v>
      </c>
      <c r="K70" s="423">
        <f t="shared" si="30"/>
        <v>0.57602802779999995</v>
      </c>
      <c r="L70" s="423">
        <f t="shared" si="30"/>
        <v>0.53844223928000012</v>
      </c>
      <c r="M70" s="423">
        <f t="shared" si="30"/>
        <v>0.61627505319999998</v>
      </c>
      <c r="N70" s="423">
        <f t="shared" si="17"/>
        <v>7.2719716501080001</v>
      </c>
      <c r="O70" s="427">
        <f t="shared" ref="O70:Q70" si="31">O56</f>
        <v>29</v>
      </c>
      <c r="P70" s="427">
        <f t="shared" si="31"/>
        <v>16478</v>
      </c>
      <c r="Q70" s="427">
        <f t="shared" si="31"/>
        <v>7542</v>
      </c>
    </row>
    <row r="71" spans="1:17" ht="15">
      <c r="A71" s="427"/>
      <c r="B71" s="427">
        <f t="shared" ref="B71:Q71" si="32">SUM(B63:B70)</f>
        <v>8.2372324488699995</v>
      </c>
      <c r="C71" s="427">
        <f t="shared" si="32"/>
        <v>8.91387008339</v>
      </c>
      <c r="D71" s="427">
        <f t="shared" si="32"/>
        <v>8.1873577196700005</v>
      </c>
      <c r="E71" s="427">
        <f t="shared" si="32"/>
        <v>8.3958763402679999</v>
      </c>
      <c r="F71" s="427">
        <f t="shared" si="32"/>
        <v>8.0019753037049988</v>
      </c>
      <c r="G71" s="427">
        <f t="shared" si="32"/>
        <v>7.9314270340859991</v>
      </c>
      <c r="H71" s="427">
        <f t="shared" si="32"/>
        <v>8.064213644905001</v>
      </c>
      <c r="I71" s="427">
        <f t="shared" si="32"/>
        <v>7.4568499302799989</v>
      </c>
      <c r="J71" s="427">
        <f t="shared" si="32"/>
        <v>7.1941399253220002</v>
      </c>
      <c r="K71" s="427">
        <f t="shared" si="32"/>
        <v>7.2816164688130005</v>
      </c>
      <c r="L71" s="427">
        <f t="shared" si="32"/>
        <v>6.9485607860959986</v>
      </c>
      <c r="M71" s="427">
        <f t="shared" si="32"/>
        <v>8.106597616589001</v>
      </c>
      <c r="N71" s="427">
        <f t="shared" si="32"/>
        <v>94.719717301993995</v>
      </c>
      <c r="O71" s="427">
        <f t="shared" si="32"/>
        <v>117</v>
      </c>
      <c r="P71" s="648">
        <f t="shared" si="32"/>
        <v>164375</v>
      </c>
      <c r="Q71" s="648">
        <f t="shared" si="32"/>
        <v>112963</v>
      </c>
    </row>
    <row r="74" spans="1:17" ht="15">
      <c r="A74" s="461" t="s">
        <v>803</v>
      </c>
    </row>
    <row r="76" spans="1:17" ht="15">
      <c r="C76" s="650" t="s">
        <v>874</v>
      </c>
      <c r="D76" s="1242" t="s">
        <v>751</v>
      </c>
      <c r="E76" s="1242" t="s">
        <v>119</v>
      </c>
      <c r="F76" s="1242" t="s">
        <v>752</v>
      </c>
      <c r="G76" s="1242" t="s">
        <v>753</v>
      </c>
      <c r="H76" s="1242" t="s">
        <v>754</v>
      </c>
      <c r="I76" s="1242" t="s">
        <v>755</v>
      </c>
      <c r="J76" s="1242" t="s">
        <v>756</v>
      </c>
      <c r="K76" s="1242" t="s">
        <v>757</v>
      </c>
      <c r="L76" s="1242" t="s">
        <v>758</v>
      </c>
      <c r="M76" s="1242" t="s">
        <v>759</v>
      </c>
      <c r="N76" s="1242" t="s">
        <v>760</v>
      </c>
      <c r="O76" s="1242" t="s">
        <v>761</v>
      </c>
    </row>
    <row r="77" spans="1:17">
      <c r="A77" s="462"/>
      <c r="B77" s="1582" t="s">
        <v>801</v>
      </c>
      <c r="C77" s="649" t="s">
        <v>804</v>
      </c>
      <c r="D77" s="1241">
        <f>+'InSTS Loss'!E5</f>
        <v>4.1197329473457563E-2</v>
      </c>
      <c r="E77" s="1241">
        <f>+'InSTS Loss'!E6</f>
        <v>3.8781823258367293E-2</v>
      </c>
      <c r="F77" s="1241">
        <f>+'InSTS Loss'!E7</f>
        <v>4.0408499778803945E-2</v>
      </c>
      <c r="G77" s="1241">
        <f>+'InSTS Loss'!E8</f>
        <v>3.776545951799707E-2</v>
      </c>
      <c r="H77" s="1241">
        <f>+'InSTS Loss'!E9</f>
        <v>4.0603131537770225E-2</v>
      </c>
      <c r="I77" s="1241">
        <f>+'InSTS Loss'!E10</f>
        <v>3.9331088688376772E-2</v>
      </c>
      <c r="J77" s="1241">
        <f>+'InSTS Loss'!E11</f>
        <v>4.0597801545227845E-2</v>
      </c>
      <c r="K77" s="1241">
        <f>+'InSTS Loss'!E12</f>
        <v>3.7129650614105981E-2</v>
      </c>
      <c r="L77" s="1241">
        <f>+'InSTS Loss'!E13</f>
        <v>3.5904087379469256E-2</v>
      </c>
      <c r="M77" s="1241">
        <f>+'InSTS Loss'!E14</f>
        <v>3.8686038765345973E-2</v>
      </c>
      <c r="N77" s="1241">
        <f>+'InSTS Loss'!E15</f>
        <v>3.7606415460325483E-2</v>
      </c>
      <c r="O77" s="1241">
        <f>+'InSTS Loss'!E16</f>
        <v>4.1608419699525959E-2</v>
      </c>
    </row>
    <row r="78" spans="1:17">
      <c r="A78" s="462"/>
      <c r="B78" s="1582"/>
      <c r="C78" s="649" t="s">
        <v>805</v>
      </c>
      <c r="D78" s="1241">
        <f>+'InSTS Loss'!J5</f>
        <v>3.7314470353608978E-2</v>
      </c>
      <c r="E78" s="1241">
        <f>+'InSTS Loss'!J6</f>
        <v>3.3273057191298951E-2</v>
      </c>
      <c r="F78" s="1241">
        <f>+'InSTS Loss'!J7</f>
        <v>3.5687143376387571E-2</v>
      </c>
      <c r="G78" s="1241">
        <f>+'InSTS Loss'!J8</f>
        <v>3.7090172254780063E-2</v>
      </c>
      <c r="H78" s="1241">
        <f>+'InSTS Loss'!J9</f>
        <v>3.6786217309693184E-2</v>
      </c>
      <c r="I78" s="1241">
        <f>+'InSTS Loss'!J10</f>
        <v>3.6570614079399787E-2</v>
      </c>
      <c r="J78" s="1241">
        <f>+'InSTS Loss'!J11</f>
        <v>3.6746781101216229E-2</v>
      </c>
      <c r="K78" s="1241">
        <f>+'InSTS Loss'!J12</f>
        <v>3.7701693602892418E-2</v>
      </c>
      <c r="L78" s="1241">
        <f>+'InSTS Loss'!J13+0.01%</f>
        <v>3.424989993553005E-2</v>
      </c>
      <c r="M78" s="1241">
        <f>+'InSTS Loss'!J14</f>
        <v>3.5447562318906181E-2</v>
      </c>
      <c r="N78" s="1241">
        <f>+'InSTS Loss'!J15</f>
        <v>3.6760684883007717E-2</v>
      </c>
      <c r="O78" s="1241">
        <f>+'InSTS Loss'!J16</f>
        <v>3.7803478876278961E-2</v>
      </c>
    </row>
    <row r="79" spans="1:17">
      <c r="A79" s="462"/>
      <c r="B79" s="1582"/>
      <c r="C79" s="649" t="s">
        <v>806</v>
      </c>
      <c r="D79" s="1241">
        <f>+'InSTS Loss'!O5</f>
        <v>3.6350044219817725E-2</v>
      </c>
      <c r="E79" s="1241">
        <f>+'InSTS Loss'!O6</f>
        <v>3.5083427674208162E-2</v>
      </c>
      <c r="F79" s="1241">
        <f>+'InSTS Loss'!O7</f>
        <v>3.3609666994520032E-2</v>
      </c>
      <c r="G79" s="1241">
        <f>+'InSTS Loss'!O8</f>
        <v>3.1015627996573449E-2</v>
      </c>
      <c r="H79" s="1241">
        <f>+'InSTS Loss'!O9</f>
        <v>3.3804253549231972E-2</v>
      </c>
      <c r="I79" s="1241">
        <f>+'InSTS Loss'!$O10</f>
        <v>3.3208226275667288E-2</v>
      </c>
      <c r="J79" s="1241">
        <f>+'InSTS Loss'!$O11</f>
        <v>3.5346652827791487E-2</v>
      </c>
      <c r="K79" s="1241">
        <f>+'InSTS Loss'!$O12</f>
        <v>3.0103407922436543E-2</v>
      </c>
      <c r="L79" s="1241">
        <f>+'InSTS Loss'!$O13</f>
        <v>2.8538948857250036E-2</v>
      </c>
      <c r="M79" s="1241">
        <f>+'InSTS Loss'!$O14</f>
        <v>3.2140947230762662E-2</v>
      </c>
      <c r="N79" s="1241">
        <f>+'InSTS Loss'!$O15</f>
        <v>3.218014298327676E-2</v>
      </c>
      <c r="O79" s="1241">
        <f>+'InSTS Loss'!$O16</f>
        <v>3.349837007207046E-2</v>
      </c>
    </row>
    <row r="80" spans="1:17">
      <c r="A80" s="462"/>
      <c r="B80" s="463"/>
    </row>
    <row r="81" spans="1:16">
      <c r="A81" s="462"/>
      <c r="B81" s="1578" t="s">
        <v>146</v>
      </c>
      <c r="C81" s="649" t="s">
        <v>816</v>
      </c>
      <c r="D81" s="649"/>
      <c r="E81" s="649"/>
      <c r="F81" s="649"/>
      <c r="G81" s="1235">
        <v>7432370</v>
      </c>
      <c r="H81" s="1235">
        <v>7499790</v>
      </c>
      <c r="I81" s="1236">
        <f>7279200</f>
        <v>7279200</v>
      </c>
      <c r="J81" s="1237">
        <f>6565969</f>
        <v>6565969</v>
      </c>
      <c r="K81" s="1237">
        <f>6311537</f>
        <v>6311537</v>
      </c>
      <c r="L81" s="1237">
        <f>6476760</f>
        <v>6476760</v>
      </c>
      <c r="M81" s="1237">
        <f>6342300</f>
        <v>6342300</v>
      </c>
      <c r="N81" s="1238">
        <f>5760048</f>
        <v>5760048</v>
      </c>
      <c r="O81" s="1237">
        <f>6696330</f>
        <v>6696330</v>
      </c>
    </row>
    <row r="82" spans="1:16">
      <c r="A82" s="462"/>
      <c r="B82" s="1578"/>
      <c r="C82" s="649" t="s">
        <v>815</v>
      </c>
      <c r="D82" s="649"/>
      <c r="E82" s="649"/>
      <c r="F82" s="649"/>
      <c r="G82" s="1239">
        <f>G81/(1-G78)</f>
        <v>7718656.2914243722</v>
      </c>
      <c r="H82" s="1239">
        <f t="shared" ref="H82:O82" si="33">H81/(1-H78)</f>
        <v>7786215.4121722514</v>
      </c>
      <c r="I82" s="1239">
        <f t="shared" si="33"/>
        <v>7555509.6267324211</v>
      </c>
      <c r="J82" s="1239">
        <f t="shared" si="33"/>
        <v>6816451.6569240093</v>
      </c>
      <c r="K82" s="1239">
        <f t="shared" si="33"/>
        <v>6558815.4505131645</v>
      </c>
      <c r="L82" s="1239">
        <f t="shared" si="33"/>
        <v>6706455.4273073701</v>
      </c>
      <c r="M82" s="1239">
        <f t="shared" si="33"/>
        <v>6575381.2361385897</v>
      </c>
      <c r="N82" s="1239">
        <f t="shared" si="33"/>
        <v>5979872.197492688</v>
      </c>
      <c r="O82" s="1239">
        <f t="shared" si="33"/>
        <v>6959420.2982354928</v>
      </c>
    </row>
    <row r="83" spans="1:16">
      <c r="A83" s="462"/>
      <c r="B83" s="1578"/>
      <c r="C83" s="649" t="s">
        <v>817</v>
      </c>
      <c r="D83" s="649"/>
      <c r="E83" s="649"/>
      <c r="F83" s="649"/>
      <c r="G83" s="1235">
        <v>2290776</v>
      </c>
      <c r="H83" s="1235">
        <v>2416867</v>
      </c>
      <c r="I83" s="1236">
        <f>2460753</f>
        <v>2460753</v>
      </c>
      <c r="J83" s="1237">
        <v>1994400</v>
      </c>
      <c r="K83" s="1237">
        <f>2296350</f>
        <v>2296350</v>
      </c>
      <c r="L83" s="1237">
        <f>2037410</f>
        <v>2037410</v>
      </c>
      <c r="M83" s="1237">
        <f>2056650</f>
        <v>2056650</v>
      </c>
      <c r="N83" s="1238">
        <f>1788310</f>
        <v>1788310</v>
      </c>
      <c r="O83" s="1237">
        <f>1647360</f>
        <v>1647360</v>
      </c>
    </row>
    <row r="84" spans="1:16">
      <c r="A84" s="462"/>
      <c r="B84" s="1578"/>
      <c r="C84" s="649" t="s">
        <v>818</v>
      </c>
      <c r="D84" s="649"/>
      <c r="E84" s="649"/>
      <c r="F84" s="649"/>
      <c r="G84" s="1235">
        <v>-2367319</v>
      </c>
      <c r="H84" s="1235">
        <v>-2304458</v>
      </c>
      <c r="I84" s="1235">
        <v>-2598111</v>
      </c>
      <c r="J84" s="1235">
        <v>-1352435</v>
      </c>
      <c r="K84" s="1235">
        <v>-1269094</v>
      </c>
      <c r="L84" s="1235">
        <v>-1268697</v>
      </c>
      <c r="M84" s="1235">
        <v>-1134565</v>
      </c>
      <c r="N84" s="1235">
        <v>-1010038.03</v>
      </c>
      <c r="O84" s="1235">
        <v>-1360180.94</v>
      </c>
    </row>
    <row r="85" spans="1:16">
      <c r="A85" s="462"/>
      <c r="B85" s="1578"/>
      <c r="C85" s="649" t="s">
        <v>819</v>
      </c>
      <c r="D85" s="720"/>
      <c r="E85" s="649"/>
      <c r="F85" s="649"/>
      <c r="G85" s="1239">
        <f>G84/(1-G78)</f>
        <v>-2458505.3883429449</v>
      </c>
      <c r="H85" s="1239">
        <f t="shared" ref="H85:O85" si="34">H84/(1-H78)</f>
        <v>-2392467.8419400598</v>
      </c>
      <c r="I85" s="1239">
        <f t="shared" si="34"/>
        <v>-2696732.1507609896</v>
      </c>
      <c r="J85" s="1239">
        <f t="shared" si="34"/>
        <v>-1404028.5290155988</v>
      </c>
      <c r="K85" s="1239">
        <f t="shared" si="34"/>
        <v>-1318815.580951764</v>
      </c>
      <c r="L85" s="1239">
        <f t="shared" si="34"/>
        <v>-1313690.7776818315</v>
      </c>
      <c r="M85" s="1239">
        <f t="shared" si="34"/>
        <v>-1176260.5698531414</v>
      </c>
      <c r="N85" s="1239">
        <f t="shared" si="34"/>
        <v>-1048584.7225591324</v>
      </c>
      <c r="O85" s="1239">
        <f t="shared" si="34"/>
        <v>-1413620.7210679629</v>
      </c>
    </row>
    <row r="86" spans="1:16">
      <c r="A86" s="462"/>
      <c r="B86" s="463"/>
      <c r="D86"/>
    </row>
    <row r="87" spans="1:16">
      <c r="A87" s="462"/>
      <c r="B87" s="1579" t="s">
        <v>147</v>
      </c>
      <c r="C87" s="649" t="s">
        <v>816</v>
      </c>
      <c r="D87" s="1240">
        <f>(6456830+21780)</f>
        <v>6478610</v>
      </c>
      <c r="E87" s="1240">
        <f>6601013.06</f>
        <v>6601013.0599999996</v>
      </c>
      <c r="F87" s="1240">
        <f>6439819.65</f>
        <v>6439819.6500000004</v>
      </c>
      <c r="G87" s="1240">
        <f>6502050</f>
        <v>6502050</v>
      </c>
      <c r="H87" s="1240">
        <f>6440290</f>
        <v>6440290</v>
      </c>
      <c r="I87" s="1240">
        <f>5985440</f>
        <v>5985440</v>
      </c>
      <c r="J87" s="649">
        <v>6154170</v>
      </c>
      <c r="K87" s="649">
        <v>6276650</v>
      </c>
      <c r="L87" s="649">
        <v>6221070</v>
      </c>
      <c r="M87" s="649">
        <v>6206570</v>
      </c>
      <c r="N87" s="649">
        <v>5413680</v>
      </c>
      <c r="O87" s="649">
        <v>6236700</v>
      </c>
    </row>
    <row r="88" spans="1:16">
      <c r="A88" s="462"/>
      <c r="B88" s="1579"/>
      <c r="C88" s="649" t="s">
        <v>815</v>
      </c>
      <c r="D88" s="1239">
        <f>D87/(1-D79)</f>
        <v>6722991.0208991207</v>
      </c>
      <c r="E88" s="1239">
        <f t="shared" ref="E88:O88" si="35">E87/(1-E79)</f>
        <v>6841019.4718588078</v>
      </c>
      <c r="F88" s="1239">
        <f t="shared" si="35"/>
        <v>6663787.3228430599</v>
      </c>
      <c r="G88" s="1239">
        <f t="shared" si="35"/>
        <v>6710170.1408833526</v>
      </c>
      <c r="H88" s="1239">
        <f t="shared" si="35"/>
        <v>6665616.1793899611</v>
      </c>
      <c r="I88" s="1239">
        <f t="shared" si="35"/>
        <v>6191033.2324638348</v>
      </c>
      <c r="J88" s="1239">
        <f t="shared" si="35"/>
        <v>6379669.9799367059</v>
      </c>
      <c r="K88" s="1239">
        <f t="shared" si="35"/>
        <v>6471463.0933542354</v>
      </c>
      <c r="L88" s="1239">
        <f t="shared" si="35"/>
        <v>6403828.5350524606</v>
      </c>
      <c r="M88" s="1239">
        <f t="shared" si="35"/>
        <v>6412679.5965195224</v>
      </c>
      <c r="N88" s="1239">
        <f t="shared" si="35"/>
        <v>5593685.6024916787</v>
      </c>
      <c r="O88" s="1239">
        <f t="shared" si="35"/>
        <v>6452860.3024343168</v>
      </c>
    </row>
    <row r="89" spans="1:16">
      <c r="A89" s="462"/>
      <c r="B89" s="1579"/>
      <c r="C89" s="649" t="s">
        <v>817</v>
      </c>
      <c r="D89" s="1240">
        <f>1737010</f>
        <v>1737010</v>
      </c>
      <c r="E89" s="1240">
        <f>1822800+100514</f>
        <v>1923314</v>
      </c>
      <c r="F89" s="1240">
        <f>(1552625+501785)</f>
        <v>2054410</v>
      </c>
      <c r="G89" s="1240">
        <f>(1246340+743310)</f>
        <v>1989650</v>
      </c>
      <c r="H89" s="1240">
        <f>(1044150+1070210)</f>
        <v>2114360</v>
      </c>
      <c r="I89" s="1240">
        <f>(951120+1325447)</f>
        <v>2276567</v>
      </c>
      <c r="J89" s="649">
        <f>1066493+1239898</f>
        <v>2306391</v>
      </c>
      <c r="K89" s="649">
        <f>1161390+1721118</f>
        <v>2882508</v>
      </c>
      <c r="L89" s="649">
        <f>728000+1825532</f>
        <v>2553532</v>
      </c>
      <c r="M89" s="649">
        <f>693420+2022598</f>
        <v>2716018</v>
      </c>
      <c r="N89" s="649">
        <f>612960+1934090</f>
        <v>2547050</v>
      </c>
      <c r="O89" s="649">
        <f>946730+1853363</f>
        <v>2800093</v>
      </c>
    </row>
    <row r="90" spans="1:16">
      <c r="B90" s="1579"/>
      <c r="C90" s="649" t="s">
        <v>818</v>
      </c>
      <c r="D90" s="1244">
        <v>-1332443.04</v>
      </c>
      <c r="E90" s="1244">
        <f>-(100514*(1-3.92%))</f>
        <v>-96573.851200000005</v>
      </c>
      <c r="F90" s="1244">
        <f>(501785*(1-3.92%))*-1</f>
        <v>-482115.02799999999</v>
      </c>
      <c r="G90" s="1244">
        <f>(743310*(1-3.63%))*-1</f>
        <v>-716327.84699999995</v>
      </c>
      <c r="H90" s="1244">
        <v>-1031468</v>
      </c>
      <c r="I90" s="1244">
        <f>-1325447*(1-3.57%)</f>
        <v>-1278128.5421</v>
      </c>
      <c r="J90" s="1243">
        <f>-1239898*(1-3.58%)</f>
        <v>-1195509.6516</v>
      </c>
      <c r="K90" s="1243">
        <f>(-1)*(1721118)*(1-3.51%)</f>
        <v>-1660706.7582</v>
      </c>
      <c r="L90" s="1243">
        <f>-(1825532*(1-3.5%))</f>
        <v>-1761638.38</v>
      </c>
      <c r="M90" s="1243">
        <f>-2022598*(1-3.44%)</f>
        <v>-1953020.6288000001</v>
      </c>
      <c r="N90" s="1243">
        <f>-1934090*(1-3.39%)</f>
        <v>-1868524.3489999999</v>
      </c>
      <c r="O90" s="1243">
        <f>-1853363*(1-3.36%)</f>
        <v>-1791090.0032000002</v>
      </c>
    </row>
    <row r="91" spans="1:16">
      <c r="B91" s="1579"/>
      <c r="C91" s="649" t="s">
        <v>819</v>
      </c>
      <c r="D91" s="1245">
        <f>D90/(1-D79)</f>
        <v>-1382704.4063123923</v>
      </c>
      <c r="E91" s="1245">
        <v>-100514</v>
      </c>
      <c r="F91" s="1245">
        <v>-501785</v>
      </c>
      <c r="G91" s="1245">
        <v>-743310</v>
      </c>
      <c r="H91" s="1245">
        <f>H90/(1-H79)</f>
        <v>-1067555.9313824384</v>
      </c>
      <c r="I91" s="1245">
        <v>-1325447</v>
      </c>
      <c r="J91" s="1246">
        <v>-1239898</v>
      </c>
      <c r="K91" s="1246">
        <f>+(-1)*(1721118)</f>
        <v>-1721118</v>
      </c>
      <c r="L91" s="1246">
        <v>-1825532</v>
      </c>
      <c r="M91" s="1246">
        <v>-2022598</v>
      </c>
      <c r="N91" s="1246">
        <v>-1934090</v>
      </c>
      <c r="O91" s="1246">
        <v>-1853363</v>
      </c>
    </row>
    <row r="92" spans="1:16">
      <c r="D92"/>
    </row>
    <row r="93" spans="1:16">
      <c r="D93"/>
    </row>
    <row r="95" spans="1:16" ht="15">
      <c r="A95" s="461" t="s">
        <v>851</v>
      </c>
      <c r="C95" s="432" t="s">
        <v>852</v>
      </c>
      <c r="D95" s="1242" t="s">
        <v>751</v>
      </c>
      <c r="E95" s="1242" t="s">
        <v>119</v>
      </c>
      <c r="F95" s="1242" t="s">
        <v>752</v>
      </c>
      <c r="G95" s="1242" t="s">
        <v>753</v>
      </c>
      <c r="H95" s="1242" t="s">
        <v>754</v>
      </c>
      <c r="I95" s="1242" t="s">
        <v>755</v>
      </c>
      <c r="J95" s="1242" t="s">
        <v>756</v>
      </c>
      <c r="K95" s="1242" t="s">
        <v>757</v>
      </c>
      <c r="L95" s="1242" t="s">
        <v>758</v>
      </c>
      <c r="M95" s="1242" t="s">
        <v>759</v>
      </c>
      <c r="N95" s="1242" t="s">
        <v>760</v>
      </c>
      <c r="O95" s="1242" t="s">
        <v>761</v>
      </c>
    </row>
    <row r="96" spans="1:16" ht="15">
      <c r="C96" s="421" t="s">
        <v>804</v>
      </c>
      <c r="D96" s="421">
        <v>20445760</v>
      </c>
      <c r="E96" s="421">
        <v>27838229.999999996</v>
      </c>
      <c r="F96" s="421">
        <v>27073500</v>
      </c>
      <c r="G96" s="421">
        <v>28059750</v>
      </c>
      <c r="H96" s="421">
        <v>27431250</v>
      </c>
      <c r="I96" s="421">
        <v>29009280</v>
      </c>
      <c r="J96" s="421">
        <v>28876800</v>
      </c>
      <c r="K96" s="421">
        <v>27802560</v>
      </c>
      <c r="L96" s="421">
        <v>29681280</v>
      </c>
      <c r="M96" s="421">
        <v>27200800</v>
      </c>
      <c r="N96" s="421">
        <v>27935040</v>
      </c>
      <c r="O96" s="421">
        <v>29198400</v>
      </c>
      <c r="P96" s="534">
        <f t="shared" ref="P96:P101" si="36">SUM(D96:O96)</f>
        <v>330552650</v>
      </c>
    </row>
    <row r="97" spans="3:16" ht="15">
      <c r="C97" s="421" t="s">
        <v>842</v>
      </c>
      <c r="P97" s="534"/>
    </row>
    <row r="98" spans="3:16">
      <c r="C98" s="532" t="s">
        <v>863</v>
      </c>
      <c r="D98" s="533">
        <v>28739200</v>
      </c>
      <c r="E98" s="533">
        <v>30716400</v>
      </c>
      <c r="F98" s="533">
        <v>28736400</v>
      </c>
      <c r="P98" s="428">
        <f t="shared" si="36"/>
        <v>88192000</v>
      </c>
    </row>
    <row r="99" spans="3:16">
      <c r="C99" s="532" t="s">
        <v>864</v>
      </c>
      <c r="G99" s="535">
        <f>25694366.62+515421</f>
        <v>26209787.620000001</v>
      </c>
      <c r="H99" s="535">
        <f>24655840+744832</f>
        <v>25400672</v>
      </c>
      <c r="I99" s="535">
        <f>25019264.16+699166</f>
        <v>25718430.16</v>
      </c>
      <c r="J99" s="535">
        <f>23335089</f>
        <v>23335089</v>
      </c>
      <c r="K99" s="535">
        <f>22146112</f>
        <v>22146112</v>
      </c>
      <c r="L99" s="536">
        <f>22673440</f>
        <v>22673440</v>
      </c>
      <c r="M99" s="535">
        <f>22553770</f>
        <v>22553770</v>
      </c>
      <c r="N99" s="537">
        <f>20670457.44</f>
        <v>20670457.440000001</v>
      </c>
      <c r="O99" s="536">
        <v>23784779</v>
      </c>
      <c r="P99" s="428">
        <f t="shared" si="36"/>
        <v>212492537.22</v>
      </c>
    </row>
    <row r="100" spans="3:16">
      <c r="C100" s="532" t="s">
        <v>814</v>
      </c>
      <c r="G100" s="535">
        <f>8768549</f>
        <v>8768549</v>
      </c>
      <c r="H100" s="535">
        <v>9111565</v>
      </c>
      <c r="I100" s="535">
        <v>9150319</v>
      </c>
      <c r="J100" s="535">
        <f>8411544</f>
        <v>8411544</v>
      </c>
      <c r="K100" s="535">
        <v>9316094</v>
      </c>
      <c r="L100" s="536">
        <v>8861822</v>
      </c>
      <c r="M100" s="535">
        <v>8913778</v>
      </c>
      <c r="N100" s="537">
        <v>7883313</v>
      </c>
      <c r="O100" s="536">
        <f>7952966</f>
        <v>7952966</v>
      </c>
      <c r="P100" s="428">
        <f t="shared" si="36"/>
        <v>78369950</v>
      </c>
    </row>
    <row r="101" spans="3:16">
      <c r="C101" s="532" t="s">
        <v>865</v>
      </c>
      <c r="D101" s="421">
        <v>0</v>
      </c>
      <c r="E101" s="421">
        <v>0</v>
      </c>
      <c r="F101" s="421">
        <v>0</v>
      </c>
      <c r="G101" s="532">
        <v>-7195124</v>
      </c>
      <c r="H101" s="532">
        <v>-7596376</v>
      </c>
      <c r="I101" s="532">
        <v>-8543510</v>
      </c>
      <c r="J101" s="532">
        <v>-4408116</v>
      </c>
      <c r="K101" s="532">
        <v>-4136475</v>
      </c>
      <c r="L101" s="532">
        <v>-4135181</v>
      </c>
      <c r="M101" s="532">
        <v>-3674375</v>
      </c>
      <c r="N101" s="532">
        <v>-3271085.1110999999</v>
      </c>
      <c r="O101" s="532">
        <v>-4405049.6005999986</v>
      </c>
      <c r="P101" s="428">
        <f t="shared" si="36"/>
        <v>-47365291.7117</v>
      </c>
    </row>
    <row r="102" spans="3:16">
      <c r="C102" s="532" t="s">
        <v>866</v>
      </c>
      <c r="D102" s="421">
        <v>-459827.19999999995</v>
      </c>
      <c r="E102" s="421">
        <v>-491462.40000000002</v>
      </c>
      <c r="F102" s="421">
        <v>-459782.40000000002</v>
      </c>
      <c r="G102" s="421">
        <v>-95355.42</v>
      </c>
      <c r="H102" s="421">
        <v>0</v>
      </c>
      <c r="I102" s="421">
        <v>0</v>
      </c>
      <c r="J102" s="421">
        <v>-233351</v>
      </c>
      <c r="K102" s="421">
        <v>-317800</v>
      </c>
      <c r="L102" s="421">
        <v>-229025</v>
      </c>
      <c r="M102" s="421">
        <v>-314676</v>
      </c>
      <c r="N102" s="421">
        <v>-78833.130000000034</v>
      </c>
      <c r="O102" s="421">
        <v>-317377.45</v>
      </c>
      <c r="P102" s="428">
        <f>SUM(D102:O102)</f>
        <v>-2997490</v>
      </c>
    </row>
    <row r="103" spans="3:16" ht="15">
      <c r="C103" s="532" t="s">
        <v>115</v>
      </c>
      <c r="P103" s="534">
        <f>SUM(P98:P102)</f>
        <v>328691705.50830001</v>
      </c>
    </row>
    <row r="104" spans="3:16">
      <c r="C104" s="532" t="s">
        <v>870</v>
      </c>
      <c r="D104" s="421">
        <v>0</v>
      </c>
      <c r="E104" s="421">
        <v>117000</v>
      </c>
      <c r="F104" s="421">
        <v>0</v>
      </c>
      <c r="G104" s="421">
        <v>0</v>
      </c>
      <c r="H104" s="421">
        <v>0</v>
      </c>
      <c r="I104" s="421">
        <v>0</v>
      </c>
      <c r="J104" s="421">
        <v>0</v>
      </c>
      <c r="K104" s="421">
        <v>0</v>
      </c>
      <c r="L104" s="421">
        <v>10438335</v>
      </c>
      <c r="M104" s="421">
        <v>0</v>
      </c>
      <c r="N104" s="421">
        <v>0</v>
      </c>
      <c r="O104" s="421">
        <v>0</v>
      </c>
      <c r="P104" s="428">
        <f t="shared" ref="P104:P105" si="37">SUM(D104:O104)</f>
        <v>10555335</v>
      </c>
    </row>
    <row r="105" spans="3:16">
      <c r="C105" s="532" t="s">
        <v>869</v>
      </c>
      <c r="D105" s="421">
        <v>0</v>
      </c>
      <c r="E105" s="421">
        <v>15877</v>
      </c>
      <c r="F105" s="421">
        <v>0</v>
      </c>
      <c r="G105" s="421">
        <v>0</v>
      </c>
      <c r="H105" s="421">
        <v>0</v>
      </c>
      <c r="I105" s="421">
        <v>0</v>
      </c>
      <c r="J105" s="421">
        <v>0</v>
      </c>
      <c r="K105" s="421">
        <v>0</v>
      </c>
      <c r="L105" s="421">
        <v>2375034</v>
      </c>
      <c r="M105" s="421">
        <v>0</v>
      </c>
      <c r="N105" s="421">
        <v>0</v>
      </c>
      <c r="O105" s="421">
        <v>0</v>
      </c>
      <c r="P105" s="428">
        <f t="shared" si="37"/>
        <v>2390911</v>
      </c>
    </row>
    <row r="106" spans="3:16">
      <c r="C106" s="532" t="s">
        <v>871</v>
      </c>
      <c r="D106" s="421">
        <f>D104+D105</f>
        <v>0</v>
      </c>
    </row>
    <row r="107" spans="3:16">
      <c r="C107" s="421" t="s">
        <v>843</v>
      </c>
    </row>
    <row r="108" spans="3:16" ht="15">
      <c r="C108" s="532" t="s">
        <v>864</v>
      </c>
      <c r="D108" s="1248">
        <f>23378628+79644</f>
        <v>23458272</v>
      </c>
      <c r="E108" s="1248">
        <f>23801029</f>
        <v>23801029</v>
      </c>
      <c r="F108" s="1249">
        <f>23259056</f>
        <v>23259056</v>
      </c>
      <c r="G108" s="1248">
        <f>23380512</f>
        <v>23380512</v>
      </c>
      <c r="H108" s="1248">
        <f>23192467</f>
        <v>23192467</v>
      </c>
      <c r="I108" s="1248">
        <f>21674768</f>
        <v>21674768</v>
      </c>
      <c r="J108" s="1248">
        <f>22827309</f>
        <v>22827309</v>
      </c>
      <c r="K108" s="1248">
        <f>24897523</f>
        <v>24897523</v>
      </c>
      <c r="L108" s="1248">
        <f>22793230.2</f>
        <v>22793230.199999999</v>
      </c>
      <c r="M108" s="1248">
        <f>22348477</f>
        <v>22348477</v>
      </c>
      <c r="N108" s="1248">
        <f>19550293</f>
        <v>19550293</v>
      </c>
      <c r="O108" s="1248">
        <f>22390915</f>
        <v>22390915</v>
      </c>
      <c r="P108" s="534">
        <f>SUM(D108:O108)</f>
        <v>273573851.19999999</v>
      </c>
    </row>
    <row r="109" spans="3:16" ht="15">
      <c r="C109" s="532" t="s">
        <v>814</v>
      </c>
      <c r="D109" s="1250">
        <v>7861305</v>
      </c>
      <c r="E109" s="1250">
        <v>8822289</v>
      </c>
      <c r="F109" s="1250">
        <f>9000287</f>
        <v>9000287</v>
      </c>
      <c r="G109" s="1250">
        <v>8602464</v>
      </c>
      <c r="H109" s="1250">
        <v>8858158</v>
      </c>
      <c r="I109" s="1250">
        <v>9202401</v>
      </c>
      <c r="J109" s="1248">
        <v>8991736</v>
      </c>
      <c r="K109" s="1248">
        <v>10937099</v>
      </c>
      <c r="L109" s="1248">
        <v>9665396</v>
      </c>
      <c r="M109" s="1248">
        <v>10205535</v>
      </c>
      <c r="N109" s="1248">
        <v>9626423</v>
      </c>
      <c r="O109" s="1248">
        <v>10270221</v>
      </c>
      <c r="P109" s="534">
        <f>SUM(D109:O109)</f>
        <v>112043314</v>
      </c>
    </row>
    <row r="110" spans="3:16">
      <c r="C110" s="532" t="s">
        <v>865</v>
      </c>
      <c r="D110" s="1250">
        <v>-4259746.0687999995</v>
      </c>
      <c r="E110" s="1250">
        <v>-359983</v>
      </c>
      <c r="F110" s="1250">
        <v>-1618656.4525000001</v>
      </c>
      <c r="G110" s="1250">
        <v>-2530486</v>
      </c>
      <c r="H110" s="1250">
        <v>-4138275</v>
      </c>
      <c r="I110" s="1250">
        <v>-6313356</v>
      </c>
      <c r="J110" s="991">
        <f>5824324*(+-1)</f>
        <v>-5824324</v>
      </c>
      <c r="K110" s="991">
        <f>7067891*(+-1)</f>
        <v>-7067891</v>
      </c>
      <c r="L110" s="991">
        <f>6591409.6825*(+-1)</f>
        <v>-6591409.6825000001</v>
      </c>
      <c r="M110" s="991">
        <f>7833568.955*(+-1)</f>
        <v>-7833568.9550000001</v>
      </c>
      <c r="N110" s="991">
        <f>7232858*(+-1)</f>
        <v>-7232858</v>
      </c>
      <c r="O110" s="991">
        <f>8570920*(+-1)</f>
        <v>-8570920</v>
      </c>
      <c r="P110" s="428">
        <f>SUM(D110:O110)</f>
        <v>-62341474.158799998</v>
      </c>
    </row>
    <row r="111" spans="3:16">
      <c r="C111" s="532" t="s">
        <v>866</v>
      </c>
      <c r="D111" s="1250">
        <v>-313195.77</v>
      </c>
      <c r="E111" s="1250">
        <v>-326233.18</v>
      </c>
      <c r="F111" s="1250">
        <v>-322593.41838360036</v>
      </c>
      <c r="G111" s="1250">
        <v>-319829.76000000001</v>
      </c>
      <c r="H111" s="1250">
        <v>0</v>
      </c>
      <c r="I111" s="1250">
        <v>-308771.69</v>
      </c>
      <c r="J111" s="991">
        <f>318190.45*(+-1)</f>
        <v>-318190.45</v>
      </c>
      <c r="K111" s="991">
        <f>358346.22*(+-1)</f>
        <v>-358346.22</v>
      </c>
      <c r="L111" s="991">
        <f>324586.262*(+-1)</f>
        <v>-324586.26199999999</v>
      </c>
      <c r="M111" s="991">
        <f>325540.12*(+-1)</f>
        <v>-325540.12</v>
      </c>
      <c r="N111" s="991">
        <f>291767.16*(+-1)</f>
        <v>-291767.15999999997</v>
      </c>
      <c r="O111" s="991">
        <f>326611.36*(+-1)</f>
        <v>-326611.36</v>
      </c>
      <c r="P111" s="428">
        <f>SUM(D111:O111)</f>
        <v>-3535665.3903836007</v>
      </c>
    </row>
    <row r="112" spans="3:16" ht="15">
      <c r="C112" s="1252" t="s">
        <v>115</v>
      </c>
      <c r="D112" s="1251">
        <f t="shared" ref="D112:O112" si="38">SUM(D108:D111)</f>
        <v>26746635.161200002</v>
      </c>
      <c r="E112" s="1251">
        <f t="shared" si="38"/>
        <v>31937101.82</v>
      </c>
      <c r="F112" s="1251">
        <f t="shared" si="38"/>
        <v>30318093.129116397</v>
      </c>
      <c r="G112" s="1251">
        <f t="shared" si="38"/>
        <v>29132660.239999998</v>
      </c>
      <c r="H112" s="1251">
        <f t="shared" si="38"/>
        <v>27912350</v>
      </c>
      <c r="I112" s="1251">
        <f t="shared" si="38"/>
        <v>24255041.309999999</v>
      </c>
      <c r="J112" s="1251">
        <f t="shared" si="38"/>
        <v>25676530.550000001</v>
      </c>
      <c r="K112" s="1251">
        <f t="shared" si="38"/>
        <v>28408384.780000001</v>
      </c>
      <c r="L112" s="1251">
        <f t="shared" si="38"/>
        <v>25542630.2555</v>
      </c>
      <c r="M112" s="1251">
        <f t="shared" si="38"/>
        <v>24394902.925000001</v>
      </c>
      <c r="N112" s="1251">
        <f t="shared" si="38"/>
        <v>21652090.84</v>
      </c>
      <c r="O112" s="1251">
        <f t="shared" si="38"/>
        <v>23763604.640000001</v>
      </c>
      <c r="P112" s="534">
        <f t="shared" ref="P112:P115" si="39">SUM(D112:O112)</f>
        <v>319740025.65081638</v>
      </c>
    </row>
    <row r="113" spans="3:16">
      <c r="C113" s="532" t="s">
        <v>870</v>
      </c>
      <c r="D113" s="1250">
        <v>2084000</v>
      </c>
      <c r="E113" s="1250">
        <v>0</v>
      </c>
      <c r="F113" s="1250">
        <v>0</v>
      </c>
      <c r="G113" s="1250">
        <v>0</v>
      </c>
      <c r="H113" s="1250">
        <v>0</v>
      </c>
      <c r="I113" s="1250">
        <v>0</v>
      </c>
      <c r="J113" s="1250">
        <v>0</v>
      </c>
      <c r="K113" s="1250">
        <v>10500000</v>
      </c>
      <c r="L113" s="1250">
        <v>0</v>
      </c>
      <c r="M113" s="1250">
        <v>0</v>
      </c>
      <c r="N113" s="1250">
        <v>0</v>
      </c>
      <c r="O113" s="1250">
        <v>2500500</v>
      </c>
      <c r="P113" s="428">
        <f>SUM(D113:O113)</f>
        <v>15084500</v>
      </c>
    </row>
    <row r="114" spans="3:16">
      <c r="C114" s="532" t="s">
        <v>869</v>
      </c>
      <c r="D114" s="1250">
        <v>208624</v>
      </c>
      <c r="E114" s="1250">
        <v>0</v>
      </c>
      <c r="F114" s="1250">
        <v>0</v>
      </c>
      <c r="G114" s="1250">
        <v>0</v>
      </c>
      <c r="H114" s="1250">
        <v>0</v>
      </c>
      <c r="I114" s="1250">
        <v>0</v>
      </c>
      <c r="J114" s="1250">
        <v>0</v>
      </c>
      <c r="K114" s="1250">
        <v>0</v>
      </c>
      <c r="L114" s="1250">
        <v>0</v>
      </c>
      <c r="M114" s="1250">
        <v>0</v>
      </c>
      <c r="N114" s="1250">
        <v>0</v>
      </c>
      <c r="O114" s="1250">
        <v>0</v>
      </c>
      <c r="P114" s="428">
        <f t="shared" si="39"/>
        <v>208624</v>
      </c>
    </row>
    <row r="115" spans="3:16" ht="15">
      <c r="C115" s="1252" t="s">
        <v>871</v>
      </c>
      <c r="D115" s="1251">
        <f>D113+D114</f>
        <v>2292624</v>
      </c>
      <c r="E115" s="1251">
        <f t="shared" ref="E115:O115" si="40">E113+E114</f>
        <v>0</v>
      </c>
      <c r="F115" s="1251">
        <f t="shared" si="40"/>
        <v>0</v>
      </c>
      <c r="G115" s="1251">
        <f t="shared" si="40"/>
        <v>0</v>
      </c>
      <c r="H115" s="1251">
        <f t="shared" si="40"/>
        <v>0</v>
      </c>
      <c r="I115" s="1251">
        <f t="shared" si="40"/>
        <v>0</v>
      </c>
      <c r="J115" s="1251">
        <f t="shared" si="40"/>
        <v>0</v>
      </c>
      <c r="K115" s="1251">
        <f t="shared" si="40"/>
        <v>10500000</v>
      </c>
      <c r="L115" s="1251">
        <f t="shared" si="40"/>
        <v>0</v>
      </c>
      <c r="M115" s="1251">
        <f t="shared" si="40"/>
        <v>0</v>
      </c>
      <c r="N115" s="1251">
        <f t="shared" si="40"/>
        <v>0</v>
      </c>
      <c r="O115" s="1251">
        <f t="shared" si="40"/>
        <v>2500500</v>
      </c>
      <c r="P115" s="534">
        <f t="shared" si="39"/>
        <v>15293124</v>
      </c>
    </row>
    <row r="116" spans="3:16">
      <c r="P116" s="428">
        <f>+P112+P115</f>
        <v>335033149.65081638</v>
      </c>
    </row>
    <row r="118" spans="3:16" ht="15">
      <c r="C118" s="432" t="s">
        <v>1147</v>
      </c>
    </row>
    <row r="119" spans="3:16" ht="15">
      <c r="C119" s="432"/>
    </row>
    <row r="120" spans="3:16" ht="15">
      <c r="E120" s="432" t="s">
        <v>147</v>
      </c>
      <c r="F120" s="432" t="s">
        <v>148</v>
      </c>
      <c r="G120" s="432" t="s">
        <v>149</v>
      </c>
      <c r="H120" s="432"/>
      <c r="I120" s="432"/>
    </row>
    <row r="121" spans="3:16">
      <c r="C121" s="421" t="s">
        <v>1148</v>
      </c>
      <c r="D121" s="421" t="s">
        <v>302</v>
      </c>
      <c r="E121" s="991">
        <f>+'F1.4'!I28</f>
        <v>87.047991902330054</v>
      </c>
      <c r="F121" s="991">
        <f>+'F1.4'!K28</f>
        <v>97.517022388598676</v>
      </c>
      <c r="G121" s="991">
        <f>+'F1.4'!M28</f>
        <v>99.490036966440798</v>
      </c>
      <c r="H121" s="991"/>
      <c r="I121" s="991"/>
    </row>
    <row r="122" spans="3:16" ht="15">
      <c r="C122" s="432" t="s">
        <v>1155</v>
      </c>
    </row>
    <row r="123" spans="3:16">
      <c r="C123" s="421" t="s">
        <v>1149</v>
      </c>
      <c r="D123" s="421" t="s">
        <v>644</v>
      </c>
      <c r="E123" s="463">
        <f>+ASSUM!E61</f>
        <v>0.02</v>
      </c>
      <c r="F123" s="463">
        <f>+ASSUM!F61</f>
        <v>2.75E-2</v>
      </c>
      <c r="G123" s="463">
        <f>+ASSUM!G61</f>
        <v>3.5000000000000003E-2</v>
      </c>
      <c r="H123" s="463"/>
      <c r="I123" s="463"/>
    </row>
    <row r="124" spans="3:16">
      <c r="C124" s="421" t="s">
        <v>1150</v>
      </c>
      <c r="D124" s="421" t="s">
        <v>1153</v>
      </c>
      <c r="E124" s="991">
        <f>+ROUNDUP(E121*E123*1000,0)</f>
        <v>1741</v>
      </c>
      <c r="F124" s="991">
        <f>+ROUNDUP(F121*F123*1000,0)</f>
        <v>2682</v>
      </c>
      <c r="G124" s="991">
        <f t="shared" ref="G124" si="41">+ROUNDUP(G121*G123*1000,0)</f>
        <v>3483</v>
      </c>
      <c r="H124" s="991"/>
      <c r="I124" s="991"/>
    </row>
    <row r="125" spans="3:16">
      <c r="C125" s="421" t="s">
        <v>1151</v>
      </c>
      <c r="D125" s="421" t="s">
        <v>1154</v>
      </c>
      <c r="E125" s="421">
        <v>1000</v>
      </c>
      <c r="F125" s="421">
        <v>1000</v>
      </c>
      <c r="G125" s="421">
        <v>1000</v>
      </c>
    </row>
    <row r="126" spans="3:16">
      <c r="C126" s="421" t="s">
        <v>1152</v>
      </c>
      <c r="D126" s="421" t="s">
        <v>409</v>
      </c>
      <c r="E126" s="991">
        <f>+E124*E125/10^7</f>
        <v>0.1741</v>
      </c>
      <c r="F126" s="991">
        <f>+F124*F125/10^7</f>
        <v>0.26819999999999999</v>
      </c>
      <c r="G126" s="991">
        <f>+G124*G125/10^7</f>
        <v>0.3483</v>
      </c>
    </row>
    <row r="127" spans="3:16" ht="15">
      <c r="C127" s="432" t="s">
        <v>1156</v>
      </c>
    </row>
    <row r="128" spans="3:16">
      <c r="C128" s="421" t="s">
        <v>1156</v>
      </c>
      <c r="D128" s="421" t="s">
        <v>644</v>
      </c>
      <c r="E128" s="463">
        <f>+ASSUM!E62</f>
        <v>0.105</v>
      </c>
      <c r="F128" s="463">
        <f>+ASSUM!F62</f>
        <v>0.11</v>
      </c>
      <c r="G128" s="463">
        <f>+ASSUM!G62</f>
        <v>0.115</v>
      </c>
    </row>
    <row r="129" spans="1:12">
      <c r="C129" s="421" t="s">
        <v>1156</v>
      </c>
      <c r="D129" s="421" t="s">
        <v>1153</v>
      </c>
      <c r="E129" s="421">
        <f t="shared" ref="E129:G129" si="42">+ROUNDUP(E121*E128*1000,0)</f>
        <v>9141</v>
      </c>
      <c r="F129" s="421">
        <f>+ROUNDUP(F121*F128*1000,0)</f>
        <v>10727</v>
      </c>
      <c r="G129" s="421">
        <f t="shared" si="42"/>
        <v>11442</v>
      </c>
    </row>
    <row r="130" spans="1:12">
      <c r="C130" s="421" t="s">
        <v>1157</v>
      </c>
      <c r="D130" s="421" t="s">
        <v>1154</v>
      </c>
      <c r="E130" s="421">
        <v>1000</v>
      </c>
      <c r="F130" s="421">
        <v>1000</v>
      </c>
      <c r="G130" s="421">
        <v>1000</v>
      </c>
    </row>
    <row r="131" spans="1:12">
      <c r="C131" s="421" t="s">
        <v>1157</v>
      </c>
      <c r="D131" s="421" t="s">
        <v>409</v>
      </c>
      <c r="E131" s="991">
        <f>+E129*E130/10^7</f>
        <v>0.91410000000000002</v>
      </c>
      <c r="F131" s="991">
        <f>+F129*F130/10^7</f>
        <v>1.0727</v>
      </c>
      <c r="G131" s="991">
        <f t="shared" ref="G131" si="43">+G129*G130/10^7</f>
        <v>1.1442000000000001</v>
      </c>
    </row>
    <row r="132" spans="1:12" ht="15">
      <c r="A132" s="461"/>
    </row>
    <row r="133" spans="1:12" ht="15">
      <c r="A133" s="461"/>
      <c r="C133" s="432" t="s">
        <v>1158</v>
      </c>
    </row>
    <row r="134" spans="1:12" ht="15">
      <c r="A134" s="461"/>
    </row>
    <row r="135" spans="1:12" ht="15">
      <c r="A135" s="461"/>
      <c r="D135" s="432" t="s">
        <v>146</v>
      </c>
      <c r="E135" s="432" t="s">
        <v>147</v>
      </c>
      <c r="F135" s="432" t="s">
        <v>148</v>
      </c>
      <c r="G135" s="432" t="s">
        <v>149</v>
      </c>
    </row>
    <row r="136" spans="1:12" ht="15">
      <c r="A136" s="461"/>
      <c r="C136" s="432" t="s">
        <v>864</v>
      </c>
    </row>
    <row r="137" spans="1:12" ht="15">
      <c r="A137" s="461"/>
      <c r="C137" s="421" t="s">
        <v>1159</v>
      </c>
      <c r="E137" s="421">
        <v>1.37</v>
      </c>
      <c r="F137" s="991">
        <f t="shared" ref="F137:G139" si="44">+E142</f>
        <v>1.3851522000000001</v>
      </c>
      <c r="G137" s="991">
        <f t="shared" si="44"/>
        <v>1.4004719833320001</v>
      </c>
    </row>
    <row r="138" spans="1:12" ht="15">
      <c r="A138" s="461"/>
      <c r="C138" s="421" t="s">
        <v>1160</v>
      </c>
      <c r="E138" s="421">
        <v>1.37</v>
      </c>
      <c r="F138" s="991">
        <f t="shared" si="44"/>
        <v>1.4078805000000001</v>
      </c>
      <c r="G138" s="991">
        <f t="shared" si="44"/>
        <v>1.4468083958250002</v>
      </c>
    </row>
    <row r="139" spans="1:12" ht="15">
      <c r="A139" s="461"/>
      <c r="C139" s="421" t="s">
        <v>1165</v>
      </c>
      <c r="E139" s="421">
        <v>1.08</v>
      </c>
      <c r="F139" s="991">
        <f t="shared" si="44"/>
        <v>1.08</v>
      </c>
      <c r="G139" s="991">
        <f t="shared" si="44"/>
        <v>1.08</v>
      </c>
    </row>
    <row r="140" spans="1:12" ht="15">
      <c r="A140" s="461"/>
      <c r="C140" s="421" t="s">
        <v>1164</v>
      </c>
      <c r="E140" s="432">
        <f>SUM(E137:E139)</f>
        <v>3.8200000000000003</v>
      </c>
      <c r="F140" s="992">
        <f t="shared" ref="F140:G140" si="45">SUM(F137:F139)</f>
        <v>3.8730327000000004</v>
      </c>
      <c r="G140" s="992">
        <f t="shared" si="45"/>
        <v>3.9272803791570006</v>
      </c>
      <c r="J140" s="432" t="s">
        <v>147</v>
      </c>
      <c r="K140" s="432" t="s">
        <v>148</v>
      </c>
      <c r="L140" s="432" t="s">
        <v>149</v>
      </c>
    </row>
    <row r="141" spans="1:12" ht="15">
      <c r="A141" s="461"/>
      <c r="C141" s="421" t="s">
        <v>1161</v>
      </c>
      <c r="E141" s="463">
        <v>5.5300000000000002E-2</v>
      </c>
      <c r="F141" s="463">
        <f>+E141</f>
        <v>5.5300000000000002E-2</v>
      </c>
      <c r="G141" s="463">
        <f>+F141</f>
        <v>5.5300000000000002E-2</v>
      </c>
      <c r="I141" s="421" t="s">
        <v>864</v>
      </c>
      <c r="J141" s="991">
        <f>+'F2'!G97</f>
        <v>77.508804478127061</v>
      </c>
      <c r="K141" s="991">
        <f>+'F2'!G129</f>
        <v>74.45999999999998</v>
      </c>
      <c r="L141" s="991">
        <f>+'F2'!G161</f>
        <v>74.663999999999987</v>
      </c>
    </row>
    <row r="142" spans="1:12" ht="15">
      <c r="A142" s="461"/>
      <c r="C142" s="421" t="s">
        <v>1162</v>
      </c>
      <c r="E142" s="991">
        <f>+E137+(E137*E141*20%)</f>
        <v>1.3851522000000001</v>
      </c>
      <c r="F142" s="991">
        <f t="shared" ref="F142:G142" si="46">+F137+(F137*F141*20%)</f>
        <v>1.4004719833320001</v>
      </c>
      <c r="G142" s="991">
        <f t="shared" si="46"/>
        <v>1.4159612034676521</v>
      </c>
      <c r="I142" s="421" t="s">
        <v>814</v>
      </c>
      <c r="J142" s="991">
        <f>+'F2'!G98</f>
        <v>27.900903000000003</v>
      </c>
      <c r="K142" s="991">
        <f>+'F2'!G130</f>
        <v>34.297500000000007</v>
      </c>
      <c r="L142" s="991">
        <f>+'F2'!G162</f>
        <v>34.425000000000004</v>
      </c>
    </row>
    <row r="143" spans="1:12" ht="15">
      <c r="A143" s="461"/>
      <c r="C143" s="421" t="s">
        <v>1163</v>
      </c>
      <c r="E143" s="991">
        <f>+E138+(E138*E141*50%)</f>
        <v>1.4078805000000001</v>
      </c>
      <c r="F143" s="991">
        <f t="shared" ref="F143:G143" si="47">+F138+(F138*F141*50%)</f>
        <v>1.4468083958250002</v>
      </c>
      <c r="G143" s="991">
        <f t="shared" si="47"/>
        <v>1.4868126479695614</v>
      </c>
      <c r="J143" s="991"/>
      <c r="K143" s="991"/>
      <c r="L143" s="991"/>
    </row>
    <row r="144" spans="1:12" ht="15">
      <c r="A144" s="461"/>
      <c r="C144" s="421" t="s">
        <v>1165</v>
      </c>
      <c r="E144" s="991">
        <f>+E139</f>
        <v>1.08</v>
      </c>
      <c r="F144" s="991">
        <f t="shared" ref="F144:G144" si="48">+F139</f>
        <v>1.08</v>
      </c>
      <c r="G144" s="991">
        <f t="shared" si="48"/>
        <v>1.08</v>
      </c>
      <c r="I144" s="421" t="s">
        <v>1259</v>
      </c>
      <c r="J144" s="991">
        <f>+(J141*E142/10)+(J142*E152/10)</f>
        <v>15.249667022173554</v>
      </c>
      <c r="K144" s="991">
        <f t="shared" ref="K144:L144" si="49">+(K141*F142/10)+(K142*F152/10)</f>
        <v>16.037571362877429</v>
      </c>
      <c r="L144" s="991">
        <f t="shared" si="49"/>
        <v>16.264916896505056</v>
      </c>
    </row>
    <row r="145" spans="1:9" ht="15">
      <c r="A145" s="461"/>
      <c r="C145" s="432" t="s">
        <v>1164</v>
      </c>
      <c r="D145" s="432"/>
      <c r="E145" s="992">
        <f>+SUM(E142:E144)</f>
        <v>3.8730327000000004</v>
      </c>
      <c r="F145" s="992">
        <f t="shared" ref="F145:G145" si="50">+SUM(F142:F144)</f>
        <v>3.9272803791570006</v>
      </c>
      <c r="G145" s="992">
        <f t="shared" si="50"/>
        <v>3.9827738514372135</v>
      </c>
    </row>
    <row r="146" spans="1:9" ht="15">
      <c r="A146" s="461"/>
      <c r="C146" s="432" t="s">
        <v>814</v>
      </c>
    </row>
    <row r="147" spans="1:9" ht="15">
      <c r="A147" s="461"/>
      <c r="C147" s="421" t="s">
        <v>1159</v>
      </c>
      <c r="E147" s="421">
        <v>1.6</v>
      </c>
      <c r="F147" s="991">
        <f t="shared" ref="F147:G149" si="51">+E152</f>
        <v>1.617696</v>
      </c>
      <c r="G147" s="991">
        <f t="shared" si="51"/>
        <v>1.63558771776</v>
      </c>
    </row>
    <row r="148" spans="1:9" ht="15">
      <c r="A148" s="461"/>
      <c r="C148" s="421" t="s">
        <v>1160</v>
      </c>
      <c r="E148" s="421">
        <v>1.6</v>
      </c>
      <c r="F148" s="991">
        <f t="shared" si="51"/>
        <v>1.6442400000000001</v>
      </c>
      <c r="G148" s="991">
        <f t="shared" si="51"/>
        <v>1.6897032360000002</v>
      </c>
    </row>
    <row r="149" spans="1:9" ht="15">
      <c r="A149" s="461"/>
      <c r="C149" s="421" t="s">
        <v>1165</v>
      </c>
      <c r="E149" s="421">
        <v>0.76</v>
      </c>
      <c r="F149" s="991">
        <f t="shared" si="51"/>
        <v>0.76</v>
      </c>
      <c r="G149" s="991">
        <f t="shared" si="51"/>
        <v>0.76</v>
      </c>
    </row>
    <row r="150" spans="1:9" ht="15">
      <c r="A150" s="461"/>
      <c r="C150" s="421" t="s">
        <v>1164</v>
      </c>
      <c r="E150" s="432">
        <f>SUM(E147:E149)</f>
        <v>3.96</v>
      </c>
      <c r="F150" s="992">
        <f t="shared" ref="F150" si="52">SUM(F147:F149)</f>
        <v>4.0219360000000002</v>
      </c>
      <c r="G150" s="992">
        <f t="shared" ref="G150" si="53">SUM(G147:G149)</f>
        <v>4.0852909537600004</v>
      </c>
    </row>
    <row r="151" spans="1:9" ht="15">
      <c r="A151" s="461"/>
      <c r="C151" s="421" t="s">
        <v>1161</v>
      </c>
      <c r="E151" s="463">
        <v>5.5300000000000002E-2</v>
      </c>
      <c r="F151" s="463">
        <f>+E151</f>
        <v>5.5300000000000002E-2</v>
      </c>
      <c r="G151" s="463">
        <f>+F151</f>
        <v>5.5300000000000002E-2</v>
      </c>
    </row>
    <row r="152" spans="1:9" ht="15">
      <c r="A152" s="461"/>
      <c r="C152" s="421" t="s">
        <v>1162</v>
      </c>
      <c r="E152" s="991">
        <f>+E147+(E147*E151*20%)</f>
        <v>1.617696</v>
      </c>
      <c r="F152" s="991">
        <f t="shared" ref="F152" si="54">+F147+(F147*F151*20%)</f>
        <v>1.63558771776</v>
      </c>
      <c r="G152" s="991">
        <f t="shared" ref="G152" si="55">+G147+(G147*G151*20%)</f>
        <v>1.6536773179184256</v>
      </c>
    </row>
    <row r="153" spans="1:9" ht="15">
      <c r="A153" s="461"/>
      <c r="C153" s="421" t="s">
        <v>1163</v>
      </c>
      <c r="E153" s="991">
        <f>+E148+(E148*E151*50%)</f>
        <v>1.6442400000000001</v>
      </c>
      <c r="F153" s="991">
        <f t="shared" ref="F153:G153" si="56">+F148+(F148*F151*50%)</f>
        <v>1.6897032360000002</v>
      </c>
      <c r="G153" s="991">
        <f t="shared" si="56"/>
        <v>1.7364235304754001</v>
      </c>
    </row>
    <row r="154" spans="1:9" ht="15">
      <c r="A154" s="461"/>
      <c r="C154" s="421" t="s">
        <v>1165</v>
      </c>
      <c r="E154" s="991">
        <f>+E149</f>
        <v>0.76</v>
      </c>
      <c r="F154" s="991">
        <f t="shared" ref="F154:G154" si="57">+F149</f>
        <v>0.76</v>
      </c>
      <c r="G154" s="991">
        <f t="shared" si="57"/>
        <v>0.76</v>
      </c>
    </row>
    <row r="155" spans="1:9" ht="15">
      <c r="A155" s="461"/>
      <c r="C155" s="432" t="s">
        <v>1164</v>
      </c>
      <c r="D155" s="432"/>
      <c r="E155" s="992">
        <f>+SUM(E152:E154)</f>
        <v>4.0219360000000002</v>
      </c>
      <c r="F155" s="992">
        <f t="shared" ref="F155" si="58">+SUM(F152:F154)</f>
        <v>4.0852909537600004</v>
      </c>
      <c r="G155" s="992">
        <f t="shared" ref="G155" si="59">+SUM(G152:G154)</f>
        <v>4.1501008483938255</v>
      </c>
    </row>
    <row r="156" spans="1:9" ht="15">
      <c r="A156" s="461"/>
    </row>
    <row r="157" spans="1:9" ht="15">
      <c r="A157" s="461"/>
    </row>
    <row r="158" spans="1:9" ht="15">
      <c r="A158" s="461" t="s">
        <v>883</v>
      </c>
    </row>
    <row r="159" spans="1:9">
      <c r="E159" s="639" t="s">
        <v>804</v>
      </c>
      <c r="F159" s="639" t="s">
        <v>842</v>
      </c>
      <c r="G159" s="1581" t="s">
        <v>843</v>
      </c>
      <c r="H159" s="1581"/>
      <c r="I159" s="1581"/>
    </row>
    <row r="160" spans="1:9" ht="15">
      <c r="C160" s="592" t="s">
        <v>1171</v>
      </c>
      <c r="D160" s="460"/>
      <c r="E160" s="460"/>
      <c r="F160" s="593"/>
      <c r="G160" s="956" t="s">
        <v>950</v>
      </c>
      <c r="H160" s="956" t="s">
        <v>951</v>
      </c>
      <c r="I160" s="432" t="s">
        <v>1130</v>
      </c>
    </row>
    <row r="161" spans="3:11" ht="15">
      <c r="C161" s="585" t="s">
        <v>884</v>
      </c>
      <c r="E161" s="421">
        <v>3434531</v>
      </c>
      <c r="F161" s="591">
        <v>2241941</v>
      </c>
      <c r="G161" s="553">
        <v>149318</v>
      </c>
      <c r="H161" s="955">
        <f>G161</f>
        <v>149318</v>
      </c>
      <c r="I161" s="553">
        <f>SUM(G161:H161)</f>
        <v>298636</v>
      </c>
    </row>
    <row r="162" spans="3:11" ht="15">
      <c r="C162" s="585" t="s">
        <v>885</v>
      </c>
      <c r="E162" s="421">
        <v>11934872</v>
      </c>
      <c r="F162" s="591">
        <v>14315555</v>
      </c>
      <c r="G162" s="553">
        <v>7454748</v>
      </c>
      <c r="H162" s="955">
        <f>G162</f>
        <v>7454748</v>
      </c>
      <c r="I162" s="553">
        <f>SUM(G162:H162)</f>
        <v>14909496</v>
      </c>
    </row>
    <row r="163" spans="3:11" ht="15">
      <c r="C163" s="585" t="s">
        <v>886</v>
      </c>
      <c r="E163" s="421">
        <v>13014</v>
      </c>
      <c r="F163" s="591">
        <v>0</v>
      </c>
      <c r="G163" s="553">
        <v>0</v>
      </c>
      <c r="H163" s="553">
        <f>G163</f>
        <v>0</v>
      </c>
      <c r="I163" s="553">
        <f>SUM(G163:H163)</f>
        <v>0</v>
      </c>
    </row>
    <row r="164" spans="3:11" ht="15">
      <c r="C164" s="585" t="s">
        <v>902</v>
      </c>
      <c r="E164" s="432">
        <f>SUM(E161:E163)</f>
        <v>15382417</v>
      </c>
      <c r="F164" s="588">
        <f>SUM(F161:F163)</f>
        <v>16557496</v>
      </c>
      <c r="G164" s="588">
        <f>SUM(G161:G163)</f>
        <v>7604066</v>
      </c>
      <c r="H164" s="588">
        <f>SUM(H161:H163)</f>
        <v>7604066</v>
      </c>
      <c r="I164" s="588">
        <f>SUM(I161:I163)</f>
        <v>15208132</v>
      </c>
      <c r="J164" s="930">
        <f>+F164/E164-1</f>
        <v>7.6391050899218271E-2</v>
      </c>
      <c r="K164" s="931"/>
    </row>
    <row r="165" spans="3:11" ht="14.25">
      <c r="C165" s="589" t="s">
        <v>901</v>
      </c>
      <c r="D165" s="460"/>
      <c r="E165" s="460"/>
      <c r="F165" s="590"/>
      <c r="G165" s="460"/>
      <c r="H165" s="460"/>
    </row>
    <row r="166" spans="3:11" ht="15">
      <c r="C166" s="584" t="s">
        <v>887</v>
      </c>
      <c r="F166" s="591">
        <v>0</v>
      </c>
      <c r="G166" s="553">
        <v>0</v>
      </c>
      <c r="H166" s="553">
        <f t="shared" ref="H166:H180" si="60">G166</f>
        <v>0</v>
      </c>
      <c r="I166" s="553">
        <f t="shared" ref="I166:I180" si="61">SUM(G166:H166)</f>
        <v>0</v>
      </c>
    </row>
    <row r="167" spans="3:11" ht="15">
      <c r="C167" s="584" t="s">
        <v>888</v>
      </c>
      <c r="E167" s="591"/>
      <c r="F167" s="591">
        <v>17678</v>
      </c>
      <c r="G167" s="591">
        <v>0</v>
      </c>
      <c r="H167" s="553">
        <f t="shared" si="60"/>
        <v>0</v>
      </c>
      <c r="I167" s="591">
        <f t="shared" si="61"/>
        <v>0</v>
      </c>
    </row>
    <row r="168" spans="3:11" ht="15">
      <c r="C168" s="584" t="s">
        <v>889</v>
      </c>
      <c r="E168" s="591">
        <v>1091950</v>
      </c>
      <c r="F168" s="591">
        <v>1310000</v>
      </c>
      <c r="G168" s="591">
        <v>190000</v>
      </c>
      <c r="H168" s="955">
        <f>+(F168-G168)</f>
        <v>1120000</v>
      </c>
      <c r="I168" s="591">
        <f t="shared" si="61"/>
        <v>1310000</v>
      </c>
    </row>
    <row r="169" spans="3:11" ht="15">
      <c r="C169" s="584" t="s">
        <v>890</v>
      </c>
      <c r="E169" s="591">
        <v>22966</v>
      </c>
      <c r="F169" s="591">
        <v>182712</v>
      </c>
      <c r="G169" s="591">
        <v>241471</v>
      </c>
      <c r="H169" s="591">
        <f t="shared" si="60"/>
        <v>241471</v>
      </c>
      <c r="I169" s="591">
        <f t="shared" si="61"/>
        <v>482942</v>
      </c>
    </row>
    <row r="170" spans="3:11" ht="15">
      <c r="C170" s="584" t="s">
        <v>891</v>
      </c>
      <c r="E170" s="591">
        <v>148151</v>
      </c>
      <c r="F170" s="591">
        <v>43777</v>
      </c>
      <c r="G170" s="591">
        <v>20244</v>
      </c>
      <c r="H170" s="591">
        <f t="shared" si="60"/>
        <v>20244</v>
      </c>
      <c r="I170" s="591">
        <f t="shared" si="61"/>
        <v>40488</v>
      </c>
    </row>
    <row r="171" spans="3:11" ht="15">
      <c r="C171" s="584" t="s">
        <v>892</v>
      </c>
      <c r="E171" s="591"/>
      <c r="F171" s="591">
        <v>0</v>
      </c>
      <c r="G171" s="591">
        <v>0</v>
      </c>
      <c r="H171" s="591">
        <f t="shared" si="60"/>
        <v>0</v>
      </c>
      <c r="I171" s="591">
        <f t="shared" si="61"/>
        <v>0</v>
      </c>
    </row>
    <row r="172" spans="3:11" ht="15">
      <c r="C172" s="584" t="s">
        <v>893</v>
      </c>
      <c r="E172" s="591">
        <v>1708500</v>
      </c>
      <c r="F172" s="591">
        <v>445200</v>
      </c>
      <c r="G172" s="591">
        <v>313020</v>
      </c>
      <c r="H172" s="591">
        <f t="shared" si="60"/>
        <v>313020</v>
      </c>
      <c r="I172" s="591">
        <f t="shared" si="61"/>
        <v>626040</v>
      </c>
    </row>
    <row r="173" spans="3:11" ht="15">
      <c r="C173" s="584" t="s">
        <v>103</v>
      </c>
      <c r="E173" s="591">
        <v>232013</v>
      </c>
      <c r="F173" s="591">
        <v>290678</v>
      </c>
      <c r="G173" s="591">
        <v>0</v>
      </c>
      <c r="H173" s="591">
        <f t="shared" si="60"/>
        <v>0</v>
      </c>
      <c r="I173" s="591">
        <f t="shared" si="61"/>
        <v>0</v>
      </c>
    </row>
    <row r="174" spans="3:11" ht="15">
      <c r="C174" s="584" t="s">
        <v>894</v>
      </c>
      <c r="E174" s="591">
        <v>916</v>
      </c>
      <c r="F174" s="591">
        <v>2647</v>
      </c>
      <c r="G174" s="591">
        <v>1292</v>
      </c>
      <c r="H174" s="591">
        <f t="shared" si="60"/>
        <v>1292</v>
      </c>
      <c r="I174" s="591">
        <f t="shared" si="61"/>
        <v>2584</v>
      </c>
    </row>
    <row r="175" spans="3:11" ht="15">
      <c r="C175" s="584" t="s">
        <v>895</v>
      </c>
      <c r="E175" s="591"/>
      <c r="F175" s="591">
        <v>0</v>
      </c>
      <c r="G175" s="591">
        <v>0</v>
      </c>
      <c r="H175" s="591">
        <f t="shared" si="60"/>
        <v>0</v>
      </c>
      <c r="I175" s="591">
        <f t="shared" si="61"/>
        <v>0</v>
      </c>
    </row>
    <row r="176" spans="3:11" ht="15">
      <c r="C176" s="584" t="s">
        <v>896</v>
      </c>
      <c r="E176" s="591">
        <v>160876</v>
      </c>
      <c r="F176" s="591">
        <v>65877</v>
      </c>
      <c r="G176" s="591">
        <v>71206</v>
      </c>
      <c r="H176" s="591">
        <f>G176</f>
        <v>71206</v>
      </c>
      <c r="I176" s="591">
        <f t="shared" si="61"/>
        <v>142412</v>
      </c>
    </row>
    <row r="177" spans="1:12" ht="15">
      <c r="C177" s="584" t="s">
        <v>897</v>
      </c>
      <c r="E177" s="591"/>
      <c r="F177" s="591">
        <v>0</v>
      </c>
      <c r="G177" s="591">
        <v>0</v>
      </c>
      <c r="H177" s="591">
        <f t="shared" si="60"/>
        <v>0</v>
      </c>
      <c r="I177" s="591">
        <f t="shared" si="61"/>
        <v>0</v>
      </c>
    </row>
    <row r="178" spans="1:12" ht="15">
      <c r="C178" s="584" t="s">
        <v>898</v>
      </c>
      <c r="E178" s="591"/>
      <c r="F178" s="591">
        <v>0</v>
      </c>
      <c r="G178" s="591">
        <v>0</v>
      </c>
      <c r="H178" s="591">
        <f t="shared" si="60"/>
        <v>0</v>
      </c>
      <c r="I178" s="591">
        <f t="shared" si="61"/>
        <v>0</v>
      </c>
    </row>
    <row r="179" spans="1:12" ht="15">
      <c r="C179" s="584" t="s">
        <v>899</v>
      </c>
      <c r="E179" s="591">
        <v>1923913</v>
      </c>
      <c r="F179" s="591">
        <v>632970</v>
      </c>
      <c r="G179" s="591">
        <v>71950</v>
      </c>
      <c r="H179" s="955">
        <f>G179</f>
        <v>71950</v>
      </c>
      <c r="I179" s="591">
        <f t="shared" si="61"/>
        <v>143900</v>
      </c>
    </row>
    <row r="180" spans="1:12" ht="15">
      <c r="C180" s="586" t="s">
        <v>900</v>
      </c>
      <c r="E180" s="591">
        <v>10845</v>
      </c>
      <c r="F180" s="591"/>
      <c r="G180" s="591">
        <f t="shared" ref="G180" si="62">F180/2</f>
        <v>0</v>
      </c>
      <c r="H180" s="553">
        <f t="shared" si="60"/>
        <v>0</v>
      </c>
      <c r="I180" s="591">
        <f t="shared" si="61"/>
        <v>0</v>
      </c>
    </row>
    <row r="181" spans="1:12" ht="14.25">
      <c r="C181" s="1003" t="s">
        <v>903</v>
      </c>
      <c r="E181" s="588">
        <f>SUM(E166:E180)</f>
        <v>5300130</v>
      </c>
      <c r="F181" s="588">
        <f>SUM(F166:F180)</f>
        <v>2991539</v>
      </c>
      <c r="G181" s="588">
        <f>SUM(G166:G180)</f>
        <v>909183</v>
      </c>
      <c r="H181" s="588">
        <f>SUM(H166:H180)</f>
        <v>1839183</v>
      </c>
      <c r="I181" s="588">
        <f>SUM(I166:I180)</f>
        <v>2748366</v>
      </c>
    </row>
    <row r="182" spans="1:12" ht="15">
      <c r="C182" s="592" t="s">
        <v>1172</v>
      </c>
      <c r="D182" s="460"/>
      <c r="E182" s="590">
        <v>28655574</v>
      </c>
      <c r="F182" s="590">
        <v>32324456</v>
      </c>
      <c r="G182" s="640">
        <v>9818241</v>
      </c>
      <c r="H182" s="996">
        <f>+I182-G182</f>
        <v>26800870.110937603</v>
      </c>
      <c r="I182" s="995">
        <f>+('F1'!I45*(0.35*(1.12)^2))*10^6</f>
        <v>36619111.110937603</v>
      </c>
    </row>
    <row r="184" spans="1:12" ht="15.75" thickBot="1">
      <c r="A184" s="587"/>
      <c r="C184" s="461" t="s">
        <v>904</v>
      </c>
      <c r="D184" s="460"/>
      <c r="E184" s="594">
        <f>E182+E181+E164</f>
        <v>49338121</v>
      </c>
      <c r="F184" s="594">
        <f>F182+F181+F164</f>
        <v>51873491</v>
      </c>
      <c r="G184" s="594">
        <f>G182+G181+G164</f>
        <v>18331490</v>
      </c>
      <c r="H184" s="594">
        <f>H182+H181+H164</f>
        <v>36244119.110937603</v>
      </c>
      <c r="I184" s="594">
        <f>I182+I181+I164</f>
        <v>54575609.110937603</v>
      </c>
    </row>
    <row r="185" spans="1:12" ht="14.25" thickTop="1"/>
    <row r="187" spans="1:12" ht="15">
      <c r="C187" s="997" t="s">
        <v>1166</v>
      </c>
    </row>
    <row r="189" spans="1:12" ht="15">
      <c r="C189" s="432" t="s">
        <v>1167</v>
      </c>
      <c r="J189" s="421" t="s">
        <v>1229</v>
      </c>
    </row>
    <row r="190" spans="1:12" ht="15">
      <c r="D190" s="432" t="s">
        <v>38</v>
      </c>
      <c r="E190" s="432" t="s">
        <v>146</v>
      </c>
      <c r="F190" s="432" t="s">
        <v>147</v>
      </c>
      <c r="G190" s="432" t="s">
        <v>148</v>
      </c>
      <c r="H190" s="432" t="s">
        <v>149</v>
      </c>
      <c r="J190" s="1047" t="s">
        <v>1230</v>
      </c>
      <c r="K190" s="1047" t="s">
        <v>1028</v>
      </c>
      <c r="L190" s="1047" t="s">
        <v>1231</v>
      </c>
    </row>
    <row r="191" spans="1:12">
      <c r="C191" s="421" t="s">
        <v>699</v>
      </c>
      <c r="D191" s="991">
        <f>+'F3.1'!E22+'F3.1'!E41</f>
        <v>3.1513522875486002</v>
      </c>
      <c r="E191" s="991">
        <f>+D191*(1+2.97%)</f>
        <v>3.2449474504887936</v>
      </c>
      <c r="F191" s="991">
        <f t="shared" ref="F191:H191" si="63">+E191*(1+2.97%)</f>
        <v>3.3413223897683109</v>
      </c>
      <c r="G191" s="991">
        <f t="shared" si="63"/>
        <v>3.4405596647444301</v>
      </c>
      <c r="H191" s="991">
        <f t="shared" si="63"/>
        <v>3.54274428678734</v>
      </c>
      <c r="J191" s="1046">
        <v>43070</v>
      </c>
      <c r="K191" s="1046">
        <v>43434</v>
      </c>
      <c r="L191" s="991">
        <v>10.65</v>
      </c>
    </row>
    <row r="192" spans="1:12">
      <c r="C192" s="421" t="s">
        <v>1174</v>
      </c>
      <c r="D192" s="991">
        <f>+D191</f>
        <v>3.1513522875486002</v>
      </c>
      <c r="E192" s="991">
        <f>+D192*(1+ASSUM!D74)</f>
        <v>3.3010525000565814</v>
      </c>
      <c r="F192" s="991">
        <f>+E192*(1+ASSUM!E74)</f>
        <v>3.4578639941922877</v>
      </c>
      <c r="G192" s="991">
        <f>+F192*(1+ASSUM!F74)</f>
        <v>3.6221245806076992</v>
      </c>
      <c r="H192" s="991">
        <f>+G192*(1+ASSUM!G74)</f>
        <v>3.7941881171376473</v>
      </c>
      <c r="J192" s="1046">
        <f>+K191+1</f>
        <v>43435</v>
      </c>
      <c r="K192" s="1046">
        <v>43799</v>
      </c>
      <c r="L192" s="991">
        <f>+L191*(1+ASSUM!$F$72)</f>
        <v>10.887546468401489</v>
      </c>
    </row>
    <row r="193" spans="1:13">
      <c r="C193" s="421" t="s">
        <v>1173</v>
      </c>
      <c r="D193" s="429">
        <f>+D202</f>
        <v>4.9338121000000008</v>
      </c>
      <c r="E193" s="991">
        <f>+D193*(1+ASSUM!D74)</f>
        <v>5.1681853634281243</v>
      </c>
      <c r="F193" s="991">
        <f>+E193*(1+ASSUM!E74)</f>
        <v>5.4136921733911771</v>
      </c>
      <c r="G193" s="991">
        <f>+F193*(1+ASSUM!F74)</f>
        <v>5.6708614121372127</v>
      </c>
      <c r="H193" s="991">
        <f>+G193*(1+ASSUM!G74)</f>
        <v>5.9402470856636151</v>
      </c>
      <c r="J193" s="1046">
        <f>+K192+1</f>
        <v>43800</v>
      </c>
      <c r="K193" s="1046">
        <v>44165</v>
      </c>
      <c r="L193" s="991">
        <f>+L192*(1+ASSUM!$F$72)</f>
        <v>11.130391371042414</v>
      </c>
    </row>
    <row r="194" spans="1:13">
      <c r="D194" s="991"/>
      <c r="E194" s="991"/>
      <c r="F194" s="991"/>
      <c r="G194" s="991"/>
      <c r="H194" s="991"/>
    </row>
    <row r="195" spans="1:13">
      <c r="C195" s="421" t="s">
        <v>949</v>
      </c>
      <c r="D195" s="991">
        <f>+D193*ASSUM!C13</f>
        <v>3.2069778650000007</v>
      </c>
      <c r="E195" s="991">
        <f>+E193*ASSUM!D13</f>
        <v>3.3593204862282811</v>
      </c>
      <c r="F195" s="991">
        <f>+F193*ASSUM!E13</f>
        <v>3.5188999127042653</v>
      </c>
      <c r="G195" s="991">
        <f>+G193*ASSUM!F13</f>
        <v>3.6860599178891884</v>
      </c>
      <c r="H195" s="991">
        <f>+H193*ASSUM!G13</f>
        <v>3.8611606056813499</v>
      </c>
    </row>
    <row r="196" spans="1:13">
      <c r="C196" s="421" t="s">
        <v>1175</v>
      </c>
      <c r="D196" s="991">
        <f>+D193-D195</f>
        <v>1.7268342350000001</v>
      </c>
      <c r="E196" s="991">
        <f t="shared" ref="E196:H196" si="64">+E193-E195</f>
        <v>1.8088648771998432</v>
      </c>
      <c r="F196" s="991">
        <f t="shared" si="64"/>
        <v>1.8947922606869119</v>
      </c>
      <c r="G196" s="991">
        <f t="shared" si="64"/>
        <v>1.9848014942480243</v>
      </c>
      <c r="H196" s="991">
        <f t="shared" si="64"/>
        <v>2.0790864799822653</v>
      </c>
    </row>
    <row r="197" spans="1:13">
      <c r="E197" s="1004"/>
    </row>
    <row r="198" spans="1:13" ht="15">
      <c r="C198" s="432" t="s">
        <v>1169</v>
      </c>
    </row>
    <row r="199" spans="1:13">
      <c r="C199" s="421" t="s">
        <v>84</v>
      </c>
      <c r="D199" s="991">
        <f>+E182/10^7</f>
        <v>2.8655574000000001</v>
      </c>
      <c r="E199" s="991">
        <f>+F182/10^7</f>
        <v>3.2324456000000001</v>
      </c>
      <c r="F199" s="991">
        <f>+I182/10^7</f>
        <v>3.6619111110937603</v>
      </c>
      <c r="G199" s="991">
        <f>+('F1'!L45*(0.35*(1.12)^3)/10)</f>
        <v>4.565237176869263</v>
      </c>
      <c r="H199" s="991">
        <f>+('F1'!N45*(0.35*(1.12)^4)/10)</f>
        <v>5.2165158131945093</v>
      </c>
      <c r="J199" s="421">
        <f>35*(1.12)^3</f>
        <v>49.172480000000014</v>
      </c>
      <c r="K199" s="421">
        <f>35*(1.12)^4</f>
        <v>55.073177600000015</v>
      </c>
    </row>
    <row r="200" spans="1:13">
      <c r="C200" s="421" t="s">
        <v>1170</v>
      </c>
      <c r="D200" s="991">
        <f>+E164/10^7</f>
        <v>1.5382416999999999</v>
      </c>
      <c r="E200" s="991">
        <f>+F164/10^7</f>
        <v>1.6557496</v>
      </c>
      <c r="F200" s="991">
        <f>+I164/10^7</f>
        <v>1.5208132000000001</v>
      </c>
      <c r="G200" s="991">
        <f>+((L191*8)+(L192*4))/100</f>
        <v>1.2875018587360598</v>
      </c>
      <c r="H200" s="991">
        <f>+((L192*8)+(L193*4))/100</f>
        <v>1.3162193723138156</v>
      </c>
    </row>
    <row r="201" spans="1:13">
      <c r="C201" s="421" t="s">
        <v>526</v>
      </c>
      <c r="D201" s="991">
        <f>+E181/10^7</f>
        <v>0.53001299999999996</v>
      </c>
      <c r="E201" s="991">
        <f>+F181/10^7</f>
        <v>0.29915389999999997</v>
      </c>
      <c r="F201" s="991">
        <f>+I181/10^7</f>
        <v>0.27483659999999999</v>
      </c>
      <c r="G201" s="991">
        <f>+F201*(1+ASSUM!F71)</f>
        <v>0.28789229599042693</v>
      </c>
      <c r="H201" s="991">
        <f>+G201*(1+ASSUM!G71)</f>
        <v>0.30156818302453015</v>
      </c>
    </row>
    <row r="202" spans="1:13" ht="15">
      <c r="C202" s="432" t="s">
        <v>845</v>
      </c>
      <c r="D202" s="1002">
        <f>SUM(D199:D201)</f>
        <v>4.9338121000000008</v>
      </c>
      <c r="E202" s="1002">
        <f t="shared" ref="E202:H202" si="65">SUM(E199:E201)</f>
        <v>5.1873491000000005</v>
      </c>
      <c r="F202" s="1002">
        <f>SUM(F199:F201)</f>
        <v>5.4575609110937613</v>
      </c>
      <c r="G202" s="1002">
        <f>SUM(G199:G201)</f>
        <v>6.1406313315957499</v>
      </c>
      <c r="H202" s="1002">
        <f t="shared" si="65"/>
        <v>6.8343033685328551</v>
      </c>
    </row>
    <row r="203" spans="1:13">
      <c r="E203" s="1004"/>
    </row>
    <row r="204" spans="1:13">
      <c r="C204" s="421" t="s">
        <v>949</v>
      </c>
      <c r="D204" s="991">
        <f>+D202*ASSUM!C13</f>
        <v>3.2069778650000007</v>
      </c>
      <c r="E204" s="991">
        <f>+E202*ASSUM!D13</f>
        <v>3.3717769150000003</v>
      </c>
      <c r="F204" s="991">
        <f>+F202*ASSUM!E13</f>
        <v>3.547414592210945</v>
      </c>
      <c r="G204" s="991">
        <f>+G202*ASSUM!F13</f>
        <v>3.9914103655372375</v>
      </c>
      <c r="H204" s="991">
        <f>+H202*ASSUM!G13</f>
        <v>4.4422971895463563</v>
      </c>
      <c r="J204" s="991">
        <f>+G199*65%</f>
        <v>2.9674041649650209</v>
      </c>
      <c r="K204" s="991">
        <f>+H199*65%</f>
        <v>3.3907352785764311</v>
      </c>
      <c r="L204" s="1004">
        <f>+G199-J204</f>
        <v>1.5978330119042421</v>
      </c>
      <c r="M204" s="1004">
        <f t="shared" ref="M204:M206" si="66">+H199-K204</f>
        <v>1.8257805346180782</v>
      </c>
    </row>
    <row r="205" spans="1:13">
      <c r="C205" s="421" t="s">
        <v>1175</v>
      </c>
      <c r="D205" s="429">
        <f>+D202-D204</f>
        <v>1.7268342350000001</v>
      </c>
      <c r="E205" s="429">
        <f t="shared" ref="E205:H205" si="67">+E202-E204</f>
        <v>1.8155721850000002</v>
      </c>
      <c r="F205" s="429">
        <f t="shared" si="67"/>
        <v>1.9101463188828163</v>
      </c>
      <c r="G205" s="429">
        <f>+G202-G204</f>
        <v>2.1492209660585124</v>
      </c>
      <c r="H205" s="429">
        <f t="shared" si="67"/>
        <v>2.3920061789864988</v>
      </c>
      <c r="J205" s="991">
        <f>+G200*65%</f>
        <v>0.83687620817843889</v>
      </c>
      <c r="K205" s="991">
        <f t="shared" ref="K205:K206" si="68">+H200*65%</f>
        <v>0.8555425920039802</v>
      </c>
      <c r="L205" s="1004">
        <f t="shared" ref="L205:L206" si="69">+G200-J205</f>
        <v>0.45062565055762094</v>
      </c>
      <c r="M205" s="1004">
        <f t="shared" si="66"/>
        <v>0.46067678030983539</v>
      </c>
    </row>
    <row r="206" spans="1:13">
      <c r="J206" s="991">
        <f t="shared" ref="J206" si="70">+G201*65%</f>
        <v>0.18712999239377751</v>
      </c>
      <c r="K206" s="991">
        <f t="shared" si="68"/>
        <v>0.1960193189659446</v>
      </c>
      <c r="L206" s="1004">
        <f t="shared" si="69"/>
        <v>0.10076230359664942</v>
      </c>
      <c r="M206" s="1004">
        <f t="shared" si="66"/>
        <v>0.10554886405858555</v>
      </c>
    </row>
    <row r="207" spans="1:13">
      <c r="J207" s="991">
        <f>SUM(J204:J206)</f>
        <v>3.991410365537237</v>
      </c>
      <c r="K207" s="991">
        <f>SUM(K204:K206)</f>
        <v>4.4422971895463563</v>
      </c>
      <c r="L207" s="991">
        <f>SUM(L204:L206)</f>
        <v>2.1492209660585129</v>
      </c>
      <c r="M207" s="991">
        <f>SUM(M204:M206)</f>
        <v>2.3920061789864988</v>
      </c>
    </row>
    <row r="208" spans="1:13" ht="15">
      <c r="A208" s="1570" t="s">
        <v>1073</v>
      </c>
      <c r="B208" s="1570"/>
      <c r="C208" s="1570"/>
      <c r="D208" s="1570"/>
      <c r="E208" s="1570"/>
    </row>
    <row r="210" spans="1:6" ht="15">
      <c r="A210" s="907" t="s">
        <v>1074</v>
      </c>
      <c r="B210" s="907" t="s">
        <v>1075</v>
      </c>
      <c r="C210" s="907" t="s">
        <v>1076</v>
      </c>
      <c r="D210" s="907" t="s">
        <v>1077</v>
      </c>
      <c r="E210" s="907" t="s">
        <v>1078</v>
      </c>
    </row>
    <row r="211" spans="1:6" ht="15">
      <c r="A211" s="906"/>
      <c r="B211" s="906"/>
      <c r="C211" s="906"/>
      <c r="D211" s="906"/>
      <c r="E211" s="906"/>
    </row>
    <row r="212" spans="1:6" ht="15">
      <c r="A212" s="908">
        <v>1</v>
      </c>
      <c r="B212" s="906" t="s">
        <v>1079</v>
      </c>
      <c r="C212" s="909">
        <v>10</v>
      </c>
      <c r="D212" s="909">
        <v>6.4</v>
      </c>
      <c r="E212" s="909">
        <v>16.399999999999999</v>
      </c>
    </row>
    <row r="213" spans="1:6" ht="15">
      <c r="A213" s="908">
        <v>2</v>
      </c>
      <c r="B213" s="910" t="s">
        <v>1080</v>
      </c>
      <c r="C213" s="909">
        <v>10</v>
      </c>
      <c r="D213" s="909">
        <v>6.1</v>
      </c>
      <c r="E213" s="909">
        <v>16.100000000000001</v>
      </c>
    </row>
    <row r="217" spans="1:6" ht="15">
      <c r="C217" s="997" t="s">
        <v>1177</v>
      </c>
    </row>
    <row r="219" spans="1:6" ht="15">
      <c r="D219" s="432" t="s">
        <v>146</v>
      </c>
      <c r="E219" s="432" t="s">
        <v>146</v>
      </c>
      <c r="F219" s="432" t="s">
        <v>1180</v>
      </c>
    </row>
    <row r="220" spans="1:6">
      <c r="D220" s="421" t="s">
        <v>1178</v>
      </c>
      <c r="E220" s="421" t="s">
        <v>1179</v>
      </c>
    </row>
    <row r="221" spans="1:6">
      <c r="C221" s="478" t="s">
        <v>776</v>
      </c>
      <c r="D221" s="991">
        <f>+'F13 B'!N222/10^7</f>
        <v>-2.1328572769999998</v>
      </c>
      <c r="E221" s="991">
        <f>+'F13 B'!T222/10^7</f>
        <v>-0.89308357999999988</v>
      </c>
      <c r="F221" s="991">
        <f>+E221*2</f>
        <v>-1.7861671599999998</v>
      </c>
    </row>
    <row r="222" spans="1:6">
      <c r="C222" s="478" t="s">
        <v>850</v>
      </c>
      <c r="D222" s="991">
        <f>+'F13 B'!N223/10^7</f>
        <v>0</v>
      </c>
      <c r="E222" s="991">
        <f>+'F13 B'!T223/10^7</f>
        <v>0</v>
      </c>
      <c r="F222" s="991">
        <f>+E222*2</f>
        <v>0</v>
      </c>
    </row>
    <row r="223" spans="1:6" ht="15">
      <c r="C223" s="478" t="s">
        <v>424</v>
      </c>
      <c r="D223" s="992">
        <f>SUM(D221:D222)</f>
        <v>-2.1328572769999998</v>
      </c>
      <c r="E223" s="992">
        <f t="shared" ref="E223:F223" si="71">SUM(E221:E222)</f>
        <v>-0.89308357999999988</v>
      </c>
      <c r="F223" s="992">
        <f t="shared" si="71"/>
        <v>-1.7861671599999998</v>
      </c>
    </row>
    <row r="224" spans="1:6">
      <c r="C224" s="478"/>
      <c r="D224" s="991"/>
      <c r="E224" s="991">
        <v>0</v>
      </c>
      <c r="F224" s="991"/>
    </row>
    <row r="225" spans="3:7">
      <c r="C225" s="478" t="s">
        <v>270</v>
      </c>
      <c r="D225" s="991"/>
      <c r="E225" s="991">
        <v>0</v>
      </c>
      <c r="F225" s="991"/>
    </row>
    <row r="226" spans="3:7">
      <c r="C226" s="478" t="s">
        <v>787</v>
      </c>
      <c r="D226" s="991">
        <f>+'F13 B'!N227/10^7</f>
        <v>0</v>
      </c>
      <c r="E226" s="991">
        <f>+'F13 B'!T227/10^7</f>
        <v>0</v>
      </c>
      <c r="F226" s="991">
        <f t="shared" ref="F226:F230" si="72">+E226*2</f>
        <v>0</v>
      </c>
    </row>
    <row r="227" spans="3:7">
      <c r="C227" s="478" t="s">
        <v>777</v>
      </c>
      <c r="D227" s="991">
        <f>+'F13 B'!N228/10^7</f>
        <v>0</v>
      </c>
      <c r="E227" s="991">
        <f>+'F13 B'!T228/10^7</f>
        <v>0</v>
      </c>
      <c r="F227" s="991">
        <f t="shared" si="72"/>
        <v>0</v>
      </c>
    </row>
    <row r="228" spans="3:7">
      <c r="C228" s="478" t="s">
        <v>778</v>
      </c>
      <c r="D228" s="991">
        <f>+'F13 B'!N229/10^7</f>
        <v>-2.6761430000000002E-3</v>
      </c>
      <c r="E228" s="991">
        <f>+'F13 B'!T229/10^7</f>
        <v>-1.4093940000000002E-3</v>
      </c>
      <c r="F228" s="991">
        <f t="shared" si="72"/>
        <v>-2.8187880000000005E-3</v>
      </c>
    </row>
    <row r="229" spans="3:7">
      <c r="C229" s="478" t="s">
        <v>779</v>
      </c>
      <c r="D229" s="991">
        <f>+'F13 B'!N230/10^7</f>
        <v>0</v>
      </c>
      <c r="E229" s="991">
        <f>+'F13 B'!T230/10^7</f>
        <v>0</v>
      </c>
      <c r="F229" s="991">
        <f t="shared" si="72"/>
        <v>0</v>
      </c>
    </row>
    <row r="230" spans="3:7">
      <c r="C230" s="478" t="s">
        <v>780</v>
      </c>
      <c r="D230" s="991">
        <f>+'F13 B'!N231/10^7</f>
        <v>-0.26096713300000002</v>
      </c>
      <c r="E230" s="991">
        <f>+'F13 B'!T231/10^7</f>
        <v>-0.11824944499999999</v>
      </c>
      <c r="F230" s="991">
        <f t="shared" si="72"/>
        <v>-0.23649888999999999</v>
      </c>
    </row>
    <row r="231" spans="3:7" ht="15">
      <c r="C231" s="478" t="s">
        <v>424</v>
      </c>
      <c r="D231" s="992">
        <f>SUM(D226:D230)</f>
        <v>-0.26364327600000004</v>
      </c>
      <c r="E231" s="992">
        <f t="shared" ref="E231:F231" si="73">SUM(E226:E230)</f>
        <v>-0.11965883899999999</v>
      </c>
      <c r="F231" s="992">
        <f t="shared" si="73"/>
        <v>-0.23931767799999998</v>
      </c>
    </row>
    <row r="232" spans="3:7" ht="15">
      <c r="C232" s="478" t="s">
        <v>845</v>
      </c>
      <c r="D232" s="992">
        <f>+D231+D223</f>
        <v>-2.3965005530000001</v>
      </c>
      <c r="E232" s="992">
        <f t="shared" ref="E232:F232" si="74">+E231+E223</f>
        <v>-1.0127424189999998</v>
      </c>
      <c r="F232" s="992">
        <f t="shared" si="74"/>
        <v>-2.0254848379999997</v>
      </c>
    </row>
    <row r="236" spans="3:7" ht="15">
      <c r="C236" s="997" t="s">
        <v>1211</v>
      </c>
    </row>
    <row r="237" spans="3:7">
      <c r="D237" s="421" t="s">
        <v>146</v>
      </c>
      <c r="E237" s="421" t="s">
        <v>147</v>
      </c>
      <c r="F237" s="421" t="s">
        <v>148</v>
      </c>
      <c r="G237" s="421" t="s">
        <v>149</v>
      </c>
    </row>
    <row r="238" spans="3:7">
      <c r="C238" s="421" t="s">
        <v>1259</v>
      </c>
      <c r="D238" s="1004">
        <f ca="1">+'ARR-Summary'!I56-'ARR-Summary'!I38</f>
        <v>7.1445671774853992</v>
      </c>
      <c r="E238" s="1004">
        <f>+'ARR-Summary'!N56-'ARR-Summary'!N38</f>
        <v>7.7556539054611733</v>
      </c>
      <c r="F238" s="1004">
        <f>+'ARR-Summary'!Q56-'ARR-Summary'!Q38</f>
        <v>8.5821671374558335</v>
      </c>
      <c r="G238" s="1004">
        <f>+'ARR-Summary'!S56-'ARR-Summary'!S38</f>
        <v>8.856337967884734</v>
      </c>
    </row>
    <row r="239" spans="3:7">
      <c r="C239" s="421" t="s">
        <v>1261</v>
      </c>
      <c r="D239" s="1004"/>
      <c r="E239" s="1004">
        <f>+J144</f>
        <v>15.249667022173554</v>
      </c>
      <c r="F239" s="1004">
        <f>+K144</f>
        <v>16.037571362877429</v>
      </c>
      <c r="G239" s="1004">
        <f>+L144</f>
        <v>16.264916896505056</v>
      </c>
    </row>
    <row r="240" spans="3:7">
      <c r="C240" s="421" t="s">
        <v>1262</v>
      </c>
      <c r="D240" s="1004"/>
      <c r="E240" s="1004">
        <f>+E238+E239</f>
        <v>23.005320927634727</v>
      </c>
      <c r="F240" s="1004">
        <f t="shared" ref="F240:G240" si="75">+F238+F239</f>
        <v>24.619738500333263</v>
      </c>
      <c r="G240" s="1004">
        <f t="shared" si="75"/>
        <v>25.12125486438979</v>
      </c>
    </row>
    <row r="241" spans="3:7">
      <c r="C241" s="421" t="s">
        <v>1260</v>
      </c>
      <c r="D241" s="991">
        <f>+'F13'!E46</f>
        <v>4.166366</v>
      </c>
      <c r="E241" s="991">
        <f>+'F13.1'!N22+'F13.1'!O22</f>
        <v>4.2519229999999997</v>
      </c>
      <c r="F241" s="991">
        <f>+'F13.2'!M46+'F13.2'!N46</f>
        <v>6.6183839999999998</v>
      </c>
      <c r="G241" s="991">
        <f>+'F13.3'!M46+'F13.3'!N46</f>
        <v>6.6183839999999998</v>
      </c>
    </row>
    <row r="242" spans="3:7">
      <c r="D242" s="929">
        <f ca="1">+D241/D238</f>
        <v>0.58315163067252362</v>
      </c>
      <c r="E242" s="929">
        <f>+E241/E240</f>
        <v>0.18482345946725975</v>
      </c>
      <c r="F242" s="929">
        <f t="shared" ref="F242:G242" si="76">+F241/F240</f>
        <v>0.26882430127803392</v>
      </c>
      <c r="G242" s="929">
        <f t="shared" si="76"/>
        <v>0.26345753967019292</v>
      </c>
    </row>
    <row r="243" spans="3:7">
      <c r="F243" s="991">
        <f>+'F14.1'!M46+'F14.1'!N46</f>
        <v>9.4050720000000005</v>
      </c>
      <c r="G243" s="991">
        <f>+'F14.2'!M46+'F14.2'!N46</f>
        <v>10.101744</v>
      </c>
    </row>
    <row r="244" spans="3:7">
      <c r="F244" s="929">
        <f>+F243/F240</f>
        <v>0.38201348076352193</v>
      </c>
      <c r="G244" s="929">
        <f>+G243/G240</f>
        <v>0.40211940265450496</v>
      </c>
    </row>
    <row r="248" spans="3:7" ht="15">
      <c r="C248" s="1335" t="s">
        <v>49</v>
      </c>
      <c r="D248" s="1336" t="s">
        <v>38</v>
      </c>
      <c r="E248" s="1336" t="s">
        <v>146</v>
      </c>
      <c r="F248" s="1336" t="s">
        <v>115</v>
      </c>
    </row>
    <row r="249" spans="3:7" ht="16.5">
      <c r="C249" s="1337" t="s">
        <v>1344</v>
      </c>
      <c r="D249" s="1338">
        <v>81.81</v>
      </c>
      <c r="E249" s="1338">
        <v>98.67</v>
      </c>
      <c r="F249" s="649"/>
    </row>
    <row r="250" spans="3:7" ht="16.5">
      <c r="C250" s="1337"/>
      <c r="D250" s="1338"/>
      <c r="E250" s="1338"/>
      <c r="F250" s="649"/>
    </row>
    <row r="251" spans="3:7" ht="16.5">
      <c r="C251" s="1339" t="s">
        <v>1345</v>
      </c>
      <c r="D251" s="1338"/>
      <c r="E251" s="1338"/>
      <c r="F251" s="649"/>
    </row>
    <row r="252" spans="3:7" ht="16.5">
      <c r="C252" s="1337" t="s">
        <v>1346</v>
      </c>
      <c r="D252" s="1340">
        <v>5.0000000000000001E-3</v>
      </c>
      <c r="E252" s="1340">
        <v>0.01</v>
      </c>
      <c r="F252" s="649"/>
    </row>
    <row r="253" spans="3:7" ht="16.5">
      <c r="C253" s="1337" t="s">
        <v>1347</v>
      </c>
      <c r="D253" s="1338">
        <v>0.40899999999999997</v>
      </c>
      <c r="E253" s="1338">
        <v>0.98699999999999999</v>
      </c>
      <c r="F253" s="649"/>
    </row>
    <row r="254" spans="3:7" ht="16.5">
      <c r="C254" s="1337" t="s">
        <v>1348</v>
      </c>
      <c r="D254" s="1338">
        <v>403</v>
      </c>
      <c r="E254" s="1338">
        <v>678</v>
      </c>
      <c r="F254" s="649"/>
    </row>
    <row r="255" spans="3:7" ht="16.5">
      <c r="C255" s="1337" t="s">
        <v>1349</v>
      </c>
      <c r="D255" s="1338">
        <v>0.40300000000000002</v>
      </c>
      <c r="E255" s="1338">
        <v>0.67800000000000005</v>
      </c>
      <c r="F255" s="649"/>
    </row>
    <row r="256" spans="3:7" ht="16.5">
      <c r="C256" s="1337" t="s">
        <v>1356</v>
      </c>
      <c r="D256" s="1338">
        <f>+D253-D255</f>
        <v>5.9999999999999498E-3</v>
      </c>
      <c r="E256" s="1338">
        <f>+E253-E255</f>
        <v>0.30899999999999994</v>
      </c>
      <c r="F256" s="649">
        <f>+D256+E256</f>
        <v>0.31499999999999989</v>
      </c>
    </row>
    <row r="257" spans="3:6" ht="16.5">
      <c r="C257" s="1337" t="s">
        <v>1350</v>
      </c>
      <c r="D257" s="1340">
        <v>0.98529999999999995</v>
      </c>
      <c r="E257" s="1340">
        <v>0.68689999999999996</v>
      </c>
      <c r="F257" s="649"/>
    </row>
    <row r="258" spans="3:6" ht="16.5">
      <c r="C258" s="1337"/>
      <c r="D258" s="1340"/>
      <c r="E258" s="1340"/>
      <c r="F258" s="649"/>
    </row>
    <row r="259" spans="3:6" ht="16.5">
      <c r="C259" s="1339" t="s">
        <v>1351</v>
      </c>
      <c r="D259" s="1338"/>
      <c r="E259" s="1338"/>
      <c r="F259" s="649"/>
    </row>
    <row r="260" spans="3:6" ht="16.5">
      <c r="C260" s="1337" t="s">
        <v>1352</v>
      </c>
      <c r="D260" s="1340">
        <v>8.5000000000000006E-2</v>
      </c>
      <c r="E260" s="1340">
        <v>0.1</v>
      </c>
      <c r="F260" s="649"/>
    </row>
    <row r="261" spans="3:6" ht="16.5">
      <c r="C261" s="1337" t="s">
        <v>1353</v>
      </c>
      <c r="D261" s="1338">
        <v>6.95</v>
      </c>
      <c r="E261" s="1338">
        <v>9.8670000000000009</v>
      </c>
      <c r="F261" s="649"/>
    </row>
    <row r="262" spans="3:6" ht="16.5">
      <c r="C262" s="1337" t="s">
        <v>1354</v>
      </c>
      <c r="D262" s="1341">
        <v>6845</v>
      </c>
      <c r="E262" s="1341">
        <v>6945</v>
      </c>
      <c r="F262" s="649"/>
    </row>
    <row r="263" spans="3:6" ht="16.5">
      <c r="C263" s="1337" t="s">
        <v>1355</v>
      </c>
      <c r="D263" s="1338">
        <v>6.8449999999999998</v>
      </c>
      <c r="E263" s="1338">
        <v>6.9450000000000003</v>
      </c>
      <c r="F263" s="649"/>
    </row>
    <row r="264" spans="3:6" ht="16.5">
      <c r="C264" s="1337" t="s">
        <v>1356</v>
      </c>
      <c r="D264" s="1338">
        <f>+D261-D263</f>
        <v>0.10500000000000043</v>
      </c>
      <c r="E264" s="1338">
        <f>+E261-E263</f>
        <v>2.9220000000000006</v>
      </c>
      <c r="F264" s="649">
        <f>+D264+E264</f>
        <v>3.027000000000001</v>
      </c>
    </row>
    <row r="265" spans="3:6" ht="16.5">
      <c r="C265" s="1337" t="s">
        <v>1350</v>
      </c>
      <c r="D265" s="1340">
        <v>0.9849</v>
      </c>
      <c r="E265" s="1340">
        <v>0.70389999999999997</v>
      </c>
      <c r="F265" s="649"/>
    </row>
  </sheetData>
  <mergeCells count="10">
    <mergeCell ref="A208:E208"/>
    <mergeCell ref="S19:S21"/>
    <mergeCell ref="R27:R28"/>
    <mergeCell ref="S27:S28"/>
    <mergeCell ref="B81:B85"/>
    <mergeCell ref="B87:B91"/>
    <mergeCell ref="Q19:Q21"/>
    <mergeCell ref="R19:R21"/>
    <mergeCell ref="G159:I159"/>
    <mergeCell ref="B77:B79"/>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B2:R165"/>
  <sheetViews>
    <sheetView showGridLines="0" view="pageBreakPreview" zoomScale="70" zoomScaleNormal="50" zoomScaleSheetLayoutView="70" zoomScalePageLayoutView="110" workbookViewId="0">
      <selection activeCell="G14" sqref="G14"/>
    </sheetView>
  </sheetViews>
  <sheetFormatPr defaultColWidth="9.140625" defaultRowHeight="15"/>
  <cols>
    <col min="1" max="1" width="9.140625" style="155"/>
    <col min="2" max="2" width="30.42578125" style="155" customWidth="1"/>
    <col min="3" max="3" width="16.28515625" style="155" customWidth="1"/>
    <col min="4" max="4" width="18.7109375" style="155" customWidth="1"/>
    <col min="5" max="5" width="19" style="155" customWidth="1"/>
    <col min="6" max="6" width="14.28515625" style="155" customWidth="1"/>
    <col min="7" max="7" width="18.28515625" style="155" customWidth="1"/>
    <col min="8" max="8" width="16.85546875" style="155" customWidth="1"/>
    <col min="9" max="9" width="15.85546875" style="155" customWidth="1"/>
    <col min="10" max="10" width="16.85546875" style="155" customWidth="1"/>
    <col min="11" max="11" width="16.42578125" style="155" customWidth="1"/>
    <col min="12" max="12" width="15.140625" style="155" customWidth="1"/>
    <col min="13" max="13" width="17.5703125" style="155" customWidth="1"/>
    <col min="14" max="14" width="14.42578125" style="155" customWidth="1"/>
    <col min="15" max="15" width="16.7109375" style="155" customWidth="1"/>
    <col min="16" max="16" width="17.28515625" style="155" customWidth="1"/>
    <col min="17" max="17" width="17" style="155" customWidth="1"/>
    <col min="18" max="256" width="9.140625" style="155"/>
    <col min="257" max="257" width="15.7109375" style="155" customWidth="1"/>
    <col min="258" max="258" width="30.42578125" style="155" customWidth="1"/>
    <col min="259" max="270" width="10.7109375" style="155" customWidth="1"/>
    <col min="271" max="271" width="12.5703125" style="155" customWidth="1"/>
    <col min="272" max="272" width="6.28515625" style="155" bestFit="1" customWidth="1"/>
    <col min="273" max="273" width="11.5703125" style="155" customWidth="1"/>
    <col min="274" max="512" width="9.140625" style="155"/>
    <col min="513" max="513" width="15.7109375" style="155" customWidth="1"/>
    <col min="514" max="514" width="30.42578125" style="155" customWidth="1"/>
    <col min="515" max="526" width="10.7109375" style="155" customWidth="1"/>
    <col min="527" max="527" width="12.5703125" style="155" customWidth="1"/>
    <col min="528" max="528" width="6.28515625" style="155" bestFit="1" customWidth="1"/>
    <col min="529" max="529" width="11.5703125" style="155" customWidth="1"/>
    <col min="530" max="768" width="9.140625" style="155"/>
    <col min="769" max="769" width="15.7109375" style="155" customWidth="1"/>
    <col min="770" max="770" width="30.42578125" style="155" customWidth="1"/>
    <col min="771" max="782" width="10.7109375" style="155" customWidth="1"/>
    <col min="783" max="783" width="12.5703125" style="155" customWidth="1"/>
    <col min="784" max="784" width="6.28515625" style="155" bestFit="1" customWidth="1"/>
    <col min="785" max="785" width="11.5703125" style="155" customWidth="1"/>
    <col min="786" max="1024" width="9.140625" style="155"/>
    <col min="1025" max="1025" width="15.7109375" style="155" customWidth="1"/>
    <col min="1026" max="1026" width="30.42578125" style="155" customWidth="1"/>
    <col min="1027" max="1038" width="10.7109375" style="155" customWidth="1"/>
    <col min="1039" max="1039" width="12.5703125" style="155" customWidth="1"/>
    <col min="1040" max="1040" width="6.28515625" style="155" bestFit="1" customWidth="1"/>
    <col min="1041" max="1041" width="11.5703125" style="155" customWidth="1"/>
    <col min="1042" max="1280" width="9.140625" style="155"/>
    <col min="1281" max="1281" width="15.7109375" style="155" customWidth="1"/>
    <col min="1282" max="1282" width="30.42578125" style="155" customWidth="1"/>
    <col min="1283" max="1294" width="10.7109375" style="155" customWidth="1"/>
    <col min="1295" max="1295" width="12.5703125" style="155" customWidth="1"/>
    <col min="1296" max="1296" width="6.28515625" style="155" bestFit="1" customWidth="1"/>
    <col min="1297" max="1297" width="11.5703125" style="155" customWidth="1"/>
    <col min="1298" max="1536" width="9.140625" style="155"/>
    <col min="1537" max="1537" width="15.7109375" style="155" customWidth="1"/>
    <col min="1538" max="1538" width="30.42578125" style="155" customWidth="1"/>
    <col min="1539" max="1550" width="10.7109375" style="155" customWidth="1"/>
    <col min="1551" max="1551" width="12.5703125" style="155" customWidth="1"/>
    <col min="1552" max="1552" width="6.28515625" style="155" bestFit="1" customWidth="1"/>
    <col min="1553" max="1553" width="11.5703125" style="155" customWidth="1"/>
    <col min="1554" max="1792" width="9.140625" style="155"/>
    <col min="1793" max="1793" width="15.7109375" style="155" customWidth="1"/>
    <col min="1794" max="1794" width="30.42578125" style="155" customWidth="1"/>
    <col min="1795" max="1806" width="10.7109375" style="155" customWidth="1"/>
    <col min="1807" max="1807" width="12.5703125" style="155" customWidth="1"/>
    <col min="1808" max="1808" width="6.28515625" style="155" bestFit="1" customWidth="1"/>
    <col min="1809" max="1809" width="11.5703125" style="155" customWidth="1"/>
    <col min="1810" max="2048" width="9.140625" style="155"/>
    <col min="2049" max="2049" width="15.7109375" style="155" customWidth="1"/>
    <col min="2050" max="2050" width="30.42578125" style="155" customWidth="1"/>
    <col min="2051" max="2062" width="10.7109375" style="155" customWidth="1"/>
    <col min="2063" max="2063" width="12.5703125" style="155" customWidth="1"/>
    <col min="2064" max="2064" width="6.28515625" style="155" bestFit="1" customWidth="1"/>
    <col min="2065" max="2065" width="11.5703125" style="155" customWidth="1"/>
    <col min="2066" max="2304" width="9.140625" style="155"/>
    <col min="2305" max="2305" width="15.7109375" style="155" customWidth="1"/>
    <col min="2306" max="2306" width="30.42578125" style="155" customWidth="1"/>
    <col min="2307" max="2318" width="10.7109375" style="155" customWidth="1"/>
    <col min="2319" max="2319" width="12.5703125" style="155" customWidth="1"/>
    <col min="2320" max="2320" width="6.28515625" style="155" bestFit="1" customWidth="1"/>
    <col min="2321" max="2321" width="11.5703125" style="155" customWidth="1"/>
    <col min="2322" max="2560" width="9.140625" style="155"/>
    <col min="2561" max="2561" width="15.7109375" style="155" customWidth="1"/>
    <col min="2562" max="2562" width="30.42578125" style="155" customWidth="1"/>
    <col min="2563" max="2574" width="10.7109375" style="155" customWidth="1"/>
    <col min="2575" max="2575" width="12.5703125" style="155" customWidth="1"/>
    <col min="2576" max="2576" width="6.28515625" style="155" bestFit="1" customWidth="1"/>
    <col min="2577" max="2577" width="11.5703125" style="155" customWidth="1"/>
    <col min="2578" max="2816" width="9.140625" style="155"/>
    <col min="2817" max="2817" width="15.7109375" style="155" customWidth="1"/>
    <col min="2818" max="2818" width="30.42578125" style="155" customWidth="1"/>
    <col min="2819" max="2830" width="10.7109375" style="155" customWidth="1"/>
    <col min="2831" max="2831" width="12.5703125" style="155" customWidth="1"/>
    <col min="2832" max="2832" width="6.28515625" style="155" bestFit="1" customWidth="1"/>
    <col min="2833" max="2833" width="11.5703125" style="155" customWidth="1"/>
    <col min="2834" max="3072" width="9.140625" style="155"/>
    <col min="3073" max="3073" width="15.7109375" style="155" customWidth="1"/>
    <col min="3074" max="3074" width="30.42578125" style="155" customWidth="1"/>
    <col min="3075" max="3086" width="10.7109375" style="155" customWidth="1"/>
    <col min="3087" max="3087" width="12.5703125" style="155" customWidth="1"/>
    <col min="3088" max="3088" width="6.28515625" style="155" bestFit="1" customWidth="1"/>
    <col min="3089" max="3089" width="11.5703125" style="155" customWidth="1"/>
    <col min="3090" max="3328" width="9.140625" style="155"/>
    <col min="3329" max="3329" width="15.7109375" style="155" customWidth="1"/>
    <col min="3330" max="3330" width="30.42578125" style="155" customWidth="1"/>
    <col min="3331" max="3342" width="10.7109375" style="155" customWidth="1"/>
    <col min="3343" max="3343" width="12.5703125" style="155" customWidth="1"/>
    <col min="3344" max="3344" width="6.28515625" style="155" bestFit="1" customWidth="1"/>
    <col min="3345" max="3345" width="11.5703125" style="155" customWidth="1"/>
    <col min="3346" max="3584" width="9.140625" style="155"/>
    <col min="3585" max="3585" width="15.7109375" style="155" customWidth="1"/>
    <col min="3586" max="3586" width="30.42578125" style="155" customWidth="1"/>
    <col min="3587" max="3598" width="10.7109375" style="155" customWidth="1"/>
    <col min="3599" max="3599" width="12.5703125" style="155" customWidth="1"/>
    <col min="3600" max="3600" width="6.28515625" style="155" bestFit="1" customWidth="1"/>
    <col min="3601" max="3601" width="11.5703125" style="155" customWidth="1"/>
    <col min="3602" max="3840" width="9.140625" style="155"/>
    <col min="3841" max="3841" width="15.7109375" style="155" customWidth="1"/>
    <col min="3842" max="3842" width="30.42578125" style="155" customWidth="1"/>
    <col min="3843" max="3854" width="10.7109375" style="155" customWidth="1"/>
    <col min="3855" max="3855" width="12.5703125" style="155" customWidth="1"/>
    <col min="3856" max="3856" width="6.28515625" style="155" bestFit="1" customWidth="1"/>
    <col min="3857" max="3857" width="11.5703125" style="155" customWidth="1"/>
    <col min="3858" max="4096" width="9.140625" style="155"/>
    <col min="4097" max="4097" width="15.7109375" style="155" customWidth="1"/>
    <col min="4098" max="4098" width="30.42578125" style="155" customWidth="1"/>
    <col min="4099" max="4110" width="10.7109375" style="155" customWidth="1"/>
    <col min="4111" max="4111" width="12.5703125" style="155" customWidth="1"/>
    <col min="4112" max="4112" width="6.28515625" style="155" bestFit="1" customWidth="1"/>
    <col min="4113" max="4113" width="11.5703125" style="155" customWidth="1"/>
    <col min="4114" max="4352" width="9.140625" style="155"/>
    <col min="4353" max="4353" width="15.7109375" style="155" customWidth="1"/>
    <col min="4354" max="4354" width="30.42578125" style="155" customWidth="1"/>
    <col min="4355" max="4366" width="10.7109375" style="155" customWidth="1"/>
    <col min="4367" max="4367" width="12.5703125" style="155" customWidth="1"/>
    <col min="4368" max="4368" width="6.28515625" style="155" bestFit="1" customWidth="1"/>
    <col min="4369" max="4369" width="11.5703125" style="155" customWidth="1"/>
    <col min="4370" max="4608" width="9.140625" style="155"/>
    <col min="4609" max="4609" width="15.7109375" style="155" customWidth="1"/>
    <col min="4610" max="4610" width="30.42578125" style="155" customWidth="1"/>
    <col min="4611" max="4622" width="10.7109375" style="155" customWidth="1"/>
    <col min="4623" max="4623" width="12.5703125" style="155" customWidth="1"/>
    <col min="4624" max="4624" width="6.28515625" style="155" bestFit="1" customWidth="1"/>
    <col min="4625" max="4625" width="11.5703125" style="155" customWidth="1"/>
    <col min="4626" max="4864" width="9.140625" style="155"/>
    <col min="4865" max="4865" width="15.7109375" style="155" customWidth="1"/>
    <col min="4866" max="4866" width="30.42578125" style="155" customWidth="1"/>
    <col min="4867" max="4878" width="10.7109375" style="155" customWidth="1"/>
    <col min="4879" max="4879" width="12.5703125" style="155" customWidth="1"/>
    <col min="4880" max="4880" width="6.28515625" style="155" bestFit="1" customWidth="1"/>
    <col min="4881" max="4881" width="11.5703125" style="155" customWidth="1"/>
    <col min="4882" max="5120" width="9.140625" style="155"/>
    <col min="5121" max="5121" width="15.7109375" style="155" customWidth="1"/>
    <col min="5122" max="5122" width="30.42578125" style="155" customWidth="1"/>
    <col min="5123" max="5134" width="10.7109375" style="155" customWidth="1"/>
    <col min="5135" max="5135" width="12.5703125" style="155" customWidth="1"/>
    <col min="5136" max="5136" width="6.28515625" style="155" bestFit="1" customWidth="1"/>
    <col min="5137" max="5137" width="11.5703125" style="155" customWidth="1"/>
    <col min="5138" max="5376" width="9.140625" style="155"/>
    <col min="5377" max="5377" width="15.7109375" style="155" customWidth="1"/>
    <col min="5378" max="5378" width="30.42578125" style="155" customWidth="1"/>
    <col min="5379" max="5390" width="10.7109375" style="155" customWidth="1"/>
    <col min="5391" max="5391" width="12.5703125" style="155" customWidth="1"/>
    <col min="5392" max="5392" width="6.28515625" style="155" bestFit="1" customWidth="1"/>
    <col min="5393" max="5393" width="11.5703125" style="155" customWidth="1"/>
    <col min="5394" max="5632" width="9.140625" style="155"/>
    <col min="5633" max="5633" width="15.7109375" style="155" customWidth="1"/>
    <col min="5634" max="5634" width="30.42578125" style="155" customWidth="1"/>
    <col min="5635" max="5646" width="10.7109375" style="155" customWidth="1"/>
    <col min="5647" max="5647" width="12.5703125" style="155" customWidth="1"/>
    <col min="5648" max="5648" width="6.28515625" style="155" bestFit="1" customWidth="1"/>
    <col min="5649" max="5649" width="11.5703125" style="155" customWidth="1"/>
    <col min="5650" max="5888" width="9.140625" style="155"/>
    <col min="5889" max="5889" width="15.7109375" style="155" customWidth="1"/>
    <col min="5890" max="5890" width="30.42578125" style="155" customWidth="1"/>
    <col min="5891" max="5902" width="10.7109375" style="155" customWidth="1"/>
    <col min="5903" max="5903" width="12.5703125" style="155" customWidth="1"/>
    <col min="5904" max="5904" width="6.28515625" style="155" bestFit="1" customWidth="1"/>
    <col min="5905" max="5905" width="11.5703125" style="155" customWidth="1"/>
    <col min="5906" max="6144" width="9.140625" style="155"/>
    <col min="6145" max="6145" width="15.7109375" style="155" customWidth="1"/>
    <col min="6146" max="6146" width="30.42578125" style="155" customWidth="1"/>
    <col min="6147" max="6158" width="10.7109375" style="155" customWidth="1"/>
    <col min="6159" max="6159" width="12.5703125" style="155" customWidth="1"/>
    <col min="6160" max="6160" width="6.28515625" style="155" bestFit="1" customWidth="1"/>
    <col min="6161" max="6161" width="11.5703125" style="155" customWidth="1"/>
    <col min="6162" max="6400" width="9.140625" style="155"/>
    <col min="6401" max="6401" width="15.7109375" style="155" customWidth="1"/>
    <col min="6402" max="6402" width="30.42578125" style="155" customWidth="1"/>
    <col min="6403" max="6414" width="10.7109375" style="155" customWidth="1"/>
    <col min="6415" max="6415" width="12.5703125" style="155" customWidth="1"/>
    <col min="6416" max="6416" width="6.28515625" style="155" bestFit="1" customWidth="1"/>
    <col min="6417" max="6417" width="11.5703125" style="155" customWidth="1"/>
    <col min="6418" max="6656" width="9.140625" style="155"/>
    <col min="6657" max="6657" width="15.7109375" style="155" customWidth="1"/>
    <col min="6658" max="6658" width="30.42578125" style="155" customWidth="1"/>
    <col min="6659" max="6670" width="10.7109375" style="155" customWidth="1"/>
    <col min="6671" max="6671" width="12.5703125" style="155" customWidth="1"/>
    <col min="6672" max="6672" width="6.28515625" style="155" bestFit="1" customWidth="1"/>
    <col min="6673" max="6673" width="11.5703125" style="155" customWidth="1"/>
    <col min="6674" max="6912" width="9.140625" style="155"/>
    <col min="6913" max="6913" width="15.7109375" style="155" customWidth="1"/>
    <col min="6914" max="6914" width="30.42578125" style="155" customWidth="1"/>
    <col min="6915" max="6926" width="10.7109375" style="155" customWidth="1"/>
    <col min="6927" max="6927" width="12.5703125" style="155" customWidth="1"/>
    <col min="6928" max="6928" width="6.28515625" style="155" bestFit="1" customWidth="1"/>
    <col min="6929" max="6929" width="11.5703125" style="155" customWidth="1"/>
    <col min="6930" max="7168" width="9.140625" style="155"/>
    <col min="7169" max="7169" width="15.7109375" style="155" customWidth="1"/>
    <col min="7170" max="7170" width="30.42578125" style="155" customWidth="1"/>
    <col min="7171" max="7182" width="10.7109375" style="155" customWidth="1"/>
    <col min="7183" max="7183" width="12.5703125" style="155" customWidth="1"/>
    <col min="7184" max="7184" width="6.28515625" style="155" bestFit="1" customWidth="1"/>
    <col min="7185" max="7185" width="11.5703125" style="155" customWidth="1"/>
    <col min="7186" max="7424" width="9.140625" style="155"/>
    <col min="7425" max="7425" width="15.7109375" style="155" customWidth="1"/>
    <col min="7426" max="7426" width="30.42578125" style="155" customWidth="1"/>
    <col min="7427" max="7438" width="10.7109375" style="155" customWidth="1"/>
    <col min="7439" max="7439" width="12.5703125" style="155" customWidth="1"/>
    <col min="7440" max="7440" width="6.28515625" style="155" bestFit="1" customWidth="1"/>
    <col min="7441" max="7441" width="11.5703125" style="155" customWidth="1"/>
    <col min="7442" max="7680" width="9.140625" style="155"/>
    <col min="7681" max="7681" width="15.7109375" style="155" customWidth="1"/>
    <col min="7682" max="7682" width="30.42578125" style="155" customWidth="1"/>
    <col min="7683" max="7694" width="10.7109375" style="155" customWidth="1"/>
    <col min="7695" max="7695" width="12.5703125" style="155" customWidth="1"/>
    <col min="7696" max="7696" width="6.28515625" style="155" bestFit="1" customWidth="1"/>
    <col min="7697" max="7697" width="11.5703125" style="155" customWidth="1"/>
    <col min="7698" max="7936" width="9.140625" style="155"/>
    <col min="7937" max="7937" width="15.7109375" style="155" customWidth="1"/>
    <col min="7938" max="7938" width="30.42578125" style="155" customWidth="1"/>
    <col min="7939" max="7950" width="10.7109375" style="155" customWidth="1"/>
    <col min="7951" max="7951" width="12.5703125" style="155" customWidth="1"/>
    <col min="7952" max="7952" width="6.28515625" style="155" bestFit="1" customWidth="1"/>
    <col min="7953" max="7953" width="11.5703125" style="155" customWidth="1"/>
    <col min="7954" max="8192" width="9.140625" style="155"/>
    <col min="8193" max="8193" width="15.7109375" style="155" customWidth="1"/>
    <col min="8194" max="8194" width="30.42578125" style="155" customWidth="1"/>
    <col min="8195" max="8206" width="10.7109375" style="155" customWidth="1"/>
    <col min="8207" max="8207" width="12.5703125" style="155" customWidth="1"/>
    <col min="8208" max="8208" width="6.28515625" style="155" bestFit="1" customWidth="1"/>
    <col min="8209" max="8209" width="11.5703125" style="155" customWidth="1"/>
    <col min="8210" max="8448" width="9.140625" style="155"/>
    <col min="8449" max="8449" width="15.7109375" style="155" customWidth="1"/>
    <col min="8450" max="8450" width="30.42578125" style="155" customWidth="1"/>
    <col min="8451" max="8462" width="10.7109375" style="155" customWidth="1"/>
    <col min="8463" max="8463" width="12.5703125" style="155" customWidth="1"/>
    <col min="8464" max="8464" width="6.28515625" style="155" bestFit="1" customWidth="1"/>
    <col min="8465" max="8465" width="11.5703125" style="155" customWidth="1"/>
    <col min="8466" max="8704" width="9.140625" style="155"/>
    <col min="8705" max="8705" width="15.7109375" style="155" customWidth="1"/>
    <col min="8706" max="8706" width="30.42578125" style="155" customWidth="1"/>
    <col min="8707" max="8718" width="10.7109375" style="155" customWidth="1"/>
    <col min="8719" max="8719" width="12.5703125" style="155" customWidth="1"/>
    <col min="8720" max="8720" width="6.28515625" style="155" bestFit="1" customWidth="1"/>
    <col min="8721" max="8721" width="11.5703125" style="155" customWidth="1"/>
    <col min="8722" max="8960" width="9.140625" style="155"/>
    <col min="8961" max="8961" width="15.7109375" style="155" customWidth="1"/>
    <col min="8962" max="8962" width="30.42578125" style="155" customWidth="1"/>
    <col min="8963" max="8974" width="10.7109375" style="155" customWidth="1"/>
    <col min="8975" max="8975" width="12.5703125" style="155" customWidth="1"/>
    <col min="8976" max="8976" width="6.28515625" style="155" bestFit="1" customWidth="1"/>
    <col min="8977" max="8977" width="11.5703125" style="155" customWidth="1"/>
    <col min="8978" max="9216" width="9.140625" style="155"/>
    <col min="9217" max="9217" width="15.7109375" style="155" customWidth="1"/>
    <col min="9218" max="9218" width="30.42578125" style="155" customWidth="1"/>
    <col min="9219" max="9230" width="10.7109375" style="155" customWidth="1"/>
    <col min="9231" max="9231" width="12.5703125" style="155" customWidth="1"/>
    <col min="9232" max="9232" width="6.28515625" style="155" bestFit="1" customWidth="1"/>
    <col min="9233" max="9233" width="11.5703125" style="155" customWidth="1"/>
    <col min="9234" max="9472" width="9.140625" style="155"/>
    <col min="9473" max="9473" width="15.7109375" style="155" customWidth="1"/>
    <col min="9474" max="9474" width="30.42578125" style="155" customWidth="1"/>
    <col min="9475" max="9486" width="10.7109375" style="155" customWidth="1"/>
    <col min="9487" max="9487" width="12.5703125" style="155" customWidth="1"/>
    <col min="9488" max="9488" width="6.28515625" style="155" bestFit="1" customWidth="1"/>
    <col min="9489" max="9489" width="11.5703125" style="155" customWidth="1"/>
    <col min="9490" max="9728" width="9.140625" style="155"/>
    <col min="9729" max="9729" width="15.7109375" style="155" customWidth="1"/>
    <col min="9730" max="9730" width="30.42578125" style="155" customWidth="1"/>
    <col min="9731" max="9742" width="10.7109375" style="155" customWidth="1"/>
    <col min="9743" max="9743" width="12.5703125" style="155" customWidth="1"/>
    <col min="9744" max="9744" width="6.28515625" style="155" bestFit="1" customWidth="1"/>
    <col min="9745" max="9745" width="11.5703125" style="155" customWidth="1"/>
    <col min="9746" max="9984" width="9.140625" style="155"/>
    <col min="9985" max="9985" width="15.7109375" style="155" customWidth="1"/>
    <col min="9986" max="9986" width="30.42578125" style="155" customWidth="1"/>
    <col min="9987" max="9998" width="10.7109375" style="155" customWidth="1"/>
    <col min="9999" max="9999" width="12.5703125" style="155" customWidth="1"/>
    <col min="10000" max="10000" width="6.28515625" style="155" bestFit="1" customWidth="1"/>
    <col min="10001" max="10001" width="11.5703125" style="155" customWidth="1"/>
    <col min="10002" max="10240" width="9.140625" style="155"/>
    <col min="10241" max="10241" width="15.7109375" style="155" customWidth="1"/>
    <col min="10242" max="10242" width="30.42578125" style="155" customWidth="1"/>
    <col min="10243" max="10254" width="10.7109375" style="155" customWidth="1"/>
    <col min="10255" max="10255" width="12.5703125" style="155" customWidth="1"/>
    <col min="10256" max="10256" width="6.28515625" style="155" bestFit="1" customWidth="1"/>
    <col min="10257" max="10257" width="11.5703125" style="155" customWidth="1"/>
    <col min="10258" max="10496" width="9.140625" style="155"/>
    <col min="10497" max="10497" width="15.7109375" style="155" customWidth="1"/>
    <col min="10498" max="10498" width="30.42578125" style="155" customWidth="1"/>
    <col min="10499" max="10510" width="10.7109375" style="155" customWidth="1"/>
    <col min="10511" max="10511" width="12.5703125" style="155" customWidth="1"/>
    <col min="10512" max="10512" width="6.28515625" style="155" bestFit="1" customWidth="1"/>
    <col min="10513" max="10513" width="11.5703125" style="155" customWidth="1"/>
    <col min="10514" max="10752" width="9.140625" style="155"/>
    <col min="10753" max="10753" width="15.7109375" style="155" customWidth="1"/>
    <col min="10754" max="10754" width="30.42578125" style="155" customWidth="1"/>
    <col min="10755" max="10766" width="10.7109375" style="155" customWidth="1"/>
    <col min="10767" max="10767" width="12.5703125" style="155" customWidth="1"/>
    <col min="10768" max="10768" width="6.28515625" style="155" bestFit="1" customWidth="1"/>
    <col min="10769" max="10769" width="11.5703125" style="155" customWidth="1"/>
    <col min="10770" max="11008" width="9.140625" style="155"/>
    <col min="11009" max="11009" width="15.7109375" style="155" customWidth="1"/>
    <col min="11010" max="11010" width="30.42578125" style="155" customWidth="1"/>
    <col min="11011" max="11022" width="10.7109375" style="155" customWidth="1"/>
    <col min="11023" max="11023" width="12.5703125" style="155" customWidth="1"/>
    <col min="11024" max="11024" width="6.28515625" style="155" bestFit="1" customWidth="1"/>
    <col min="11025" max="11025" width="11.5703125" style="155" customWidth="1"/>
    <col min="11026" max="11264" width="9.140625" style="155"/>
    <col min="11265" max="11265" width="15.7109375" style="155" customWidth="1"/>
    <col min="11266" max="11266" width="30.42578125" style="155" customWidth="1"/>
    <col min="11267" max="11278" width="10.7109375" style="155" customWidth="1"/>
    <col min="11279" max="11279" width="12.5703125" style="155" customWidth="1"/>
    <col min="11280" max="11280" width="6.28515625" style="155" bestFit="1" customWidth="1"/>
    <col min="11281" max="11281" width="11.5703125" style="155" customWidth="1"/>
    <col min="11282" max="11520" width="9.140625" style="155"/>
    <col min="11521" max="11521" width="15.7109375" style="155" customWidth="1"/>
    <col min="11522" max="11522" width="30.42578125" style="155" customWidth="1"/>
    <col min="11523" max="11534" width="10.7109375" style="155" customWidth="1"/>
    <col min="11535" max="11535" width="12.5703125" style="155" customWidth="1"/>
    <col min="11536" max="11536" width="6.28515625" style="155" bestFit="1" customWidth="1"/>
    <col min="11537" max="11537" width="11.5703125" style="155" customWidth="1"/>
    <col min="11538" max="11776" width="9.140625" style="155"/>
    <col min="11777" max="11777" width="15.7109375" style="155" customWidth="1"/>
    <col min="11778" max="11778" width="30.42578125" style="155" customWidth="1"/>
    <col min="11779" max="11790" width="10.7109375" style="155" customWidth="1"/>
    <col min="11791" max="11791" width="12.5703125" style="155" customWidth="1"/>
    <col min="11792" max="11792" width="6.28515625" style="155" bestFit="1" customWidth="1"/>
    <col min="11793" max="11793" width="11.5703125" style="155" customWidth="1"/>
    <col min="11794" max="12032" width="9.140625" style="155"/>
    <col min="12033" max="12033" width="15.7109375" style="155" customWidth="1"/>
    <col min="12034" max="12034" width="30.42578125" style="155" customWidth="1"/>
    <col min="12035" max="12046" width="10.7109375" style="155" customWidth="1"/>
    <col min="12047" max="12047" width="12.5703125" style="155" customWidth="1"/>
    <col min="12048" max="12048" width="6.28515625" style="155" bestFit="1" customWidth="1"/>
    <col min="12049" max="12049" width="11.5703125" style="155" customWidth="1"/>
    <col min="12050" max="12288" width="9.140625" style="155"/>
    <col min="12289" max="12289" width="15.7109375" style="155" customWidth="1"/>
    <col min="12290" max="12290" width="30.42578125" style="155" customWidth="1"/>
    <col min="12291" max="12302" width="10.7109375" style="155" customWidth="1"/>
    <col min="12303" max="12303" width="12.5703125" style="155" customWidth="1"/>
    <col min="12304" max="12304" width="6.28515625" style="155" bestFit="1" customWidth="1"/>
    <col min="12305" max="12305" width="11.5703125" style="155" customWidth="1"/>
    <col min="12306" max="12544" width="9.140625" style="155"/>
    <col min="12545" max="12545" width="15.7109375" style="155" customWidth="1"/>
    <col min="12546" max="12546" width="30.42578125" style="155" customWidth="1"/>
    <col min="12547" max="12558" width="10.7109375" style="155" customWidth="1"/>
    <col min="12559" max="12559" width="12.5703125" style="155" customWidth="1"/>
    <col min="12560" max="12560" width="6.28515625" style="155" bestFit="1" customWidth="1"/>
    <col min="12561" max="12561" width="11.5703125" style="155" customWidth="1"/>
    <col min="12562" max="12800" width="9.140625" style="155"/>
    <col min="12801" max="12801" width="15.7109375" style="155" customWidth="1"/>
    <col min="12802" max="12802" width="30.42578125" style="155" customWidth="1"/>
    <col min="12803" max="12814" width="10.7109375" style="155" customWidth="1"/>
    <col min="12815" max="12815" width="12.5703125" style="155" customWidth="1"/>
    <col min="12816" max="12816" width="6.28515625" style="155" bestFit="1" customWidth="1"/>
    <col min="12817" max="12817" width="11.5703125" style="155" customWidth="1"/>
    <col min="12818" max="13056" width="9.140625" style="155"/>
    <col min="13057" max="13057" width="15.7109375" style="155" customWidth="1"/>
    <col min="13058" max="13058" width="30.42578125" style="155" customWidth="1"/>
    <col min="13059" max="13070" width="10.7109375" style="155" customWidth="1"/>
    <col min="13071" max="13071" width="12.5703125" style="155" customWidth="1"/>
    <col min="13072" max="13072" width="6.28515625" style="155" bestFit="1" customWidth="1"/>
    <col min="13073" max="13073" width="11.5703125" style="155" customWidth="1"/>
    <col min="13074" max="13312" width="9.140625" style="155"/>
    <col min="13313" max="13313" width="15.7109375" style="155" customWidth="1"/>
    <col min="13314" max="13314" width="30.42578125" style="155" customWidth="1"/>
    <col min="13315" max="13326" width="10.7109375" style="155" customWidth="1"/>
    <col min="13327" max="13327" width="12.5703125" style="155" customWidth="1"/>
    <col min="13328" max="13328" width="6.28515625" style="155" bestFit="1" customWidth="1"/>
    <col min="13329" max="13329" width="11.5703125" style="155" customWidth="1"/>
    <col min="13330" max="13568" width="9.140625" style="155"/>
    <col min="13569" max="13569" width="15.7109375" style="155" customWidth="1"/>
    <col min="13570" max="13570" width="30.42578125" style="155" customWidth="1"/>
    <col min="13571" max="13582" width="10.7109375" style="155" customWidth="1"/>
    <col min="13583" max="13583" width="12.5703125" style="155" customWidth="1"/>
    <col min="13584" max="13584" width="6.28515625" style="155" bestFit="1" customWidth="1"/>
    <col min="13585" max="13585" width="11.5703125" style="155" customWidth="1"/>
    <col min="13586" max="13824" width="9.140625" style="155"/>
    <col min="13825" max="13825" width="15.7109375" style="155" customWidth="1"/>
    <col min="13826" max="13826" width="30.42578125" style="155" customWidth="1"/>
    <col min="13827" max="13838" width="10.7109375" style="155" customWidth="1"/>
    <col min="13839" max="13839" width="12.5703125" style="155" customWidth="1"/>
    <col min="13840" max="13840" width="6.28515625" style="155" bestFit="1" customWidth="1"/>
    <col min="13841" max="13841" width="11.5703125" style="155" customWidth="1"/>
    <col min="13842" max="14080" width="9.140625" style="155"/>
    <col min="14081" max="14081" width="15.7109375" style="155" customWidth="1"/>
    <col min="14082" max="14082" width="30.42578125" style="155" customWidth="1"/>
    <col min="14083" max="14094" width="10.7109375" style="155" customWidth="1"/>
    <col min="14095" max="14095" width="12.5703125" style="155" customWidth="1"/>
    <col min="14096" max="14096" width="6.28515625" style="155" bestFit="1" customWidth="1"/>
    <col min="14097" max="14097" width="11.5703125" style="155" customWidth="1"/>
    <col min="14098" max="14336" width="9.140625" style="155"/>
    <col min="14337" max="14337" width="15.7109375" style="155" customWidth="1"/>
    <col min="14338" max="14338" width="30.42578125" style="155" customWidth="1"/>
    <col min="14339" max="14350" width="10.7109375" style="155" customWidth="1"/>
    <col min="14351" max="14351" width="12.5703125" style="155" customWidth="1"/>
    <col min="14352" max="14352" width="6.28515625" style="155" bestFit="1" customWidth="1"/>
    <col min="14353" max="14353" width="11.5703125" style="155" customWidth="1"/>
    <col min="14354" max="14592" width="9.140625" style="155"/>
    <col min="14593" max="14593" width="15.7109375" style="155" customWidth="1"/>
    <col min="14594" max="14594" width="30.42578125" style="155" customWidth="1"/>
    <col min="14595" max="14606" width="10.7109375" style="155" customWidth="1"/>
    <col min="14607" max="14607" width="12.5703125" style="155" customWidth="1"/>
    <col min="14608" max="14608" width="6.28515625" style="155" bestFit="1" customWidth="1"/>
    <col min="14609" max="14609" width="11.5703125" style="155" customWidth="1"/>
    <col min="14610" max="14848" width="9.140625" style="155"/>
    <col min="14849" max="14849" width="15.7109375" style="155" customWidth="1"/>
    <col min="14850" max="14850" width="30.42578125" style="155" customWidth="1"/>
    <col min="14851" max="14862" width="10.7109375" style="155" customWidth="1"/>
    <col min="14863" max="14863" width="12.5703125" style="155" customWidth="1"/>
    <col min="14864" max="14864" width="6.28515625" style="155" bestFit="1" customWidth="1"/>
    <col min="14865" max="14865" width="11.5703125" style="155" customWidth="1"/>
    <col min="14866" max="15104" width="9.140625" style="155"/>
    <col min="15105" max="15105" width="15.7109375" style="155" customWidth="1"/>
    <col min="15106" max="15106" width="30.42578125" style="155" customWidth="1"/>
    <col min="15107" max="15118" width="10.7109375" style="155" customWidth="1"/>
    <col min="15119" max="15119" width="12.5703125" style="155" customWidth="1"/>
    <col min="15120" max="15120" width="6.28515625" style="155" bestFit="1" customWidth="1"/>
    <col min="15121" max="15121" width="11.5703125" style="155" customWidth="1"/>
    <col min="15122" max="15360" width="9.140625" style="155"/>
    <col min="15361" max="15361" width="15.7109375" style="155" customWidth="1"/>
    <col min="15362" max="15362" width="30.42578125" style="155" customWidth="1"/>
    <col min="15363" max="15374" width="10.7109375" style="155" customWidth="1"/>
    <col min="15375" max="15375" width="12.5703125" style="155" customWidth="1"/>
    <col min="15376" max="15376" width="6.28515625" style="155" bestFit="1" customWidth="1"/>
    <col min="15377" max="15377" width="11.5703125" style="155" customWidth="1"/>
    <col min="15378" max="15616" width="9.140625" style="155"/>
    <col min="15617" max="15617" width="15.7109375" style="155" customWidth="1"/>
    <col min="15618" max="15618" width="30.42578125" style="155" customWidth="1"/>
    <col min="15619" max="15630" width="10.7109375" style="155" customWidth="1"/>
    <col min="15631" max="15631" width="12.5703125" style="155" customWidth="1"/>
    <col min="15632" max="15632" width="6.28515625" style="155" bestFit="1" customWidth="1"/>
    <col min="15633" max="15633" width="11.5703125" style="155" customWidth="1"/>
    <col min="15634" max="15872" width="9.140625" style="155"/>
    <col min="15873" max="15873" width="15.7109375" style="155" customWidth="1"/>
    <col min="15874" max="15874" width="30.42578125" style="155" customWidth="1"/>
    <col min="15875" max="15886" width="10.7109375" style="155" customWidth="1"/>
    <col min="15887" max="15887" width="12.5703125" style="155" customWidth="1"/>
    <col min="15888" max="15888" width="6.28515625" style="155" bestFit="1" customWidth="1"/>
    <col min="15889" max="15889" width="11.5703125" style="155" customWidth="1"/>
    <col min="15890" max="16128" width="9.140625" style="155"/>
    <col min="16129" max="16129" width="15.7109375" style="155" customWidth="1"/>
    <col min="16130" max="16130" width="30.42578125" style="155" customWidth="1"/>
    <col min="16131" max="16142" width="10.7109375" style="155" customWidth="1"/>
    <col min="16143" max="16143" width="12.5703125" style="155" customWidth="1"/>
    <col min="16144" max="16144" width="6.28515625" style="155" bestFit="1" customWidth="1"/>
    <col min="16145" max="16145" width="11.5703125" style="155" customWidth="1"/>
    <col min="16146" max="16384" width="9.140625" style="155"/>
  </cols>
  <sheetData>
    <row r="2" spans="2:17">
      <c r="C2" s="101"/>
      <c r="D2" s="101"/>
      <c r="E2" s="101"/>
      <c r="F2" s="742" t="s">
        <v>906</v>
      </c>
      <c r="H2" s="101"/>
      <c r="J2" s="101"/>
      <c r="L2" s="101"/>
      <c r="M2" s="101"/>
      <c r="N2" s="101"/>
    </row>
    <row r="3" spans="2:17">
      <c r="C3" s="101"/>
      <c r="D3" s="101"/>
      <c r="E3" s="101"/>
      <c r="F3" s="417" t="s">
        <v>721</v>
      </c>
      <c r="H3" s="101"/>
      <c r="J3" s="101"/>
      <c r="L3" s="101"/>
      <c r="M3" s="101"/>
      <c r="N3" s="101"/>
    </row>
    <row r="4" spans="2:17">
      <c r="C4" s="101"/>
      <c r="D4" s="101"/>
      <c r="E4" s="101"/>
      <c r="F4" s="417" t="s">
        <v>284</v>
      </c>
      <c r="H4" s="101"/>
      <c r="J4" s="101"/>
      <c r="L4" s="101"/>
      <c r="M4" s="101"/>
      <c r="N4" s="101"/>
      <c r="P4" s="62"/>
      <c r="Q4" s="62"/>
    </row>
    <row r="5" spans="2:17">
      <c r="B5" s="21"/>
      <c r="C5" s="154"/>
      <c r="D5" s="154"/>
      <c r="E5" s="154"/>
      <c r="F5" s="154"/>
      <c r="G5" s="154"/>
      <c r="H5" s="154"/>
      <c r="I5" s="154"/>
      <c r="J5" s="154"/>
      <c r="K5" s="154"/>
      <c r="L5" s="154"/>
      <c r="M5" s="154"/>
      <c r="N5" s="154"/>
      <c r="P5" s="62"/>
      <c r="Q5" s="62"/>
    </row>
    <row r="6" spans="2:17">
      <c r="B6" s="21"/>
      <c r="C6" s="154"/>
      <c r="D6" s="154"/>
      <c r="E6" s="154"/>
      <c r="F6" s="154"/>
      <c r="G6" s="154"/>
      <c r="H6" s="154"/>
      <c r="I6" s="154"/>
      <c r="J6" s="154"/>
      <c r="K6" s="154"/>
      <c r="L6" s="154"/>
      <c r="M6" s="154"/>
      <c r="N6" s="154"/>
      <c r="O6" s="154"/>
      <c r="P6" s="62"/>
      <c r="Q6" s="62"/>
    </row>
    <row r="7" spans="2:17">
      <c r="B7" s="46" t="s">
        <v>1087</v>
      </c>
      <c r="C7" s="154"/>
      <c r="D7" s="154"/>
      <c r="E7" s="154"/>
      <c r="F7" s="154"/>
      <c r="G7" s="154"/>
      <c r="H7" s="154"/>
      <c r="I7" s="154"/>
      <c r="J7" s="154"/>
      <c r="K7" s="154"/>
      <c r="L7" s="154"/>
      <c r="M7" s="154"/>
      <c r="N7" s="154"/>
      <c r="O7" s="62"/>
    </row>
    <row r="8" spans="2:17">
      <c r="B8" s="46"/>
      <c r="C8" s="154"/>
      <c r="D8" s="154"/>
      <c r="E8" s="154"/>
      <c r="F8" s="154"/>
      <c r="G8" s="154"/>
      <c r="H8" s="154"/>
      <c r="I8" s="154"/>
      <c r="J8" s="154"/>
      <c r="K8" s="154"/>
      <c r="L8" s="154"/>
      <c r="M8" s="154"/>
      <c r="N8" s="154"/>
      <c r="O8" s="62"/>
    </row>
    <row r="9" spans="2:17" ht="15" customHeight="1">
      <c r="B9" s="1383" t="s">
        <v>266</v>
      </c>
      <c r="C9" s="1380" t="s">
        <v>38</v>
      </c>
      <c r="D9" s="1381"/>
      <c r="E9" s="1382"/>
    </row>
    <row r="10" spans="2:17" ht="28.5">
      <c r="B10" s="1384"/>
      <c r="C10" s="411" t="s">
        <v>413</v>
      </c>
      <c r="D10" s="412" t="s">
        <v>414</v>
      </c>
      <c r="E10" s="412" t="s">
        <v>415</v>
      </c>
    </row>
    <row r="11" spans="2:17">
      <c r="B11" s="1385"/>
      <c r="C11" s="412" t="s">
        <v>72</v>
      </c>
      <c r="D11" s="412" t="s">
        <v>73</v>
      </c>
      <c r="E11" s="412" t="s">
        <v>418</v>
      </c>
    </row>
    <row r="12" spans="2:17">
      <c r="B12" s="446" t="str">
        <f>B60</f>
        <v>HT Category</v>
      </c>
      <c r="C12" s="41"/>
      <c r="D12" s="41"/>
      <c r="E12" s="14"/>
    </row>
    <row r="13" spans="2:17">
      <c r="B13" s="447" t="str">
        <f t="shared" ref="B13:B14" si="0">B61</f>
        <v>HT I</v>
      </c>
      <c r="C13" s="583">
        <f>'MYT cal'!AA6</f>
        <v>74.852932103752906</v>
      </c>
      <c r="D13" s="448">
        <f>O61</f>
        <v>74.852932103752906</v>
      </c>
      <c r="E13" s="651">
        <f>D13-C13</f>
        <v>0</v>
      </c>
    </row>
    <row r="14" spans="2:17">
      <c r="B14" s="447" t="str">
        <f t="shared" si="0"/>
        <v>HT II</v>
      </c>
      <c r="C14" s="583">
        <f>'MYT cal'!AA7</f>
        <v>0.10607318060800922</v>
      </c>
      <c r="D14" s="448">
        <f>O62</f>
        <v>0.10607318060800922</v>
      </c>
      <c r="E14" s="651">
        <f t="shared" ref="E14:E25" si="1">D14-C14</f>
        <v>0</v>
      </c>
    </row>
    <row r="15" spans="2:17">
      <c r="B15" s="286" t="s">
        <v>424</v>
      </c>
      <c r="C15" s="455">
        <f>SUM(C13:C14)</f>
        <v>74.959005284360913</v>
      </c>
      <c r="D15" s="420">
        <f>SUM(D13:D14)</f>
        <v>74.959005284360913</v>
      </c>
      <c r="E15" s="651">
        <f t="shared" si="1"/>
        <v>0</v>
      </c>
    </row>
    <row r="16" spans="2:17">
      <c r="B16" s="67"/>
      <c r="C16" s="455"/>
      <c r="D16" s="41"/>
      <c r="E16" s="651">
        <f t="shared" si="1"/>
        <v>0</v>
      </c>
    </row>
    <row r="17" spans="2:15">
      <c r="B17" s="446" t="str">
        <f>B63</f>
        <v>LT Category</v>
      </c>
      <c r="C17" s="455"/>
      <c r="D17" s="41"/>
      <c r="E17" s="651">
        <f t="shared" si="1"/>
        <v>0</v>
      </c>
    </row>
    <row r="18" spans="2:15">
      <c r="B18" s="447" t="str">
        <f t="shared" ref="B18:B22" si="2">B64</f>
        <v>LT II A</v>
      </c>
      <c r="C18" s="583">
        <f>'MYT cal'!AA9</f>
        <v>0.11203341576157266</v>
      </c>
      <c r="D18" s="448">
        <f>O64</f>
        <v>0.11203341576157266</v>
      </c>
      <c r="E18" s="651">
        <f t="shared" si="1"/>
        <v>0</v>
      </c>
    </row>
    <row r="19" spans="2:15">
      <c r="B19" s="447" t="str">
        <f t="shared" si="2"/>
        <v>LT II B</v>
      </c>
      <c r="C19" s="583">
        <f>'MYT cal'!AA10</f>
        <v>0.29634106526476189</v>
      </c>
      <c r="D19" s="448">
        <f t="shared" ref="D19:D22" si="3">O65</f>
        <v>0.29634106526476189</v>
      </c>
      <c r="E19" s="651">
        <f t="shared" si="1"/>
        <v>0</v>
      </c>
    </row>
    <row r="20" spans="2:15">
      <c r="B20" s="447" t="str">
        <f t="shared" si="2"/>
        <v>LT II C</v>
      </c>
      <c r="C20" s="583">
        <f>'MYT cal'!AA11</f>
        <v>0</v>
      </c>
      <c r="D20" s="448">
        <f t="shared" si="3"/>
        <v>0</v>
      </c>
      <c r="E20" s="651">
        <f t="shared" si="1"/>
        <v>0</v>
      </c>
    </row>
    <row r="21" spans="2:15">
      <c r="B21" s="447" t="str">
        <f t="shared" si="2"/>
        <v>LT V A</v>
      </c>
      <c r="C21" s="583">
        <f>'MYT cal'!AA12</f>
        <v>0.28927109865525658</v>
      </c>
      <c r="D21" s="448">
        <f t="shared" si="3"/>
        <v>0.28927109865525658</v>
      </c>
      <c r="E21" s="651">
        <f t="shared" si="1"/>
        <v>0</v>
      </c>
    </row>
    <row r="22" spans="2:15">
      <c r="B22" s="447" t="str">
        <f t="shared" si="2"/>
        <v>LT V B</v>
      </c>
      <c r="C22" s="583">
        <f>'MYT cal'!AA13</f>
        <v>6.1523841359574902</v>
      </c>
      <c r="D22" s="448">
        <f t="shared" si="3"/>
        <v>6.1523841359574902</v>
      </c>
      <c r="E22" s="651">
        <f t="shared" si="1"/>
        <v>0</v>
      </c>
    </row>
    <row r="23" spans="2:15">
      <c r="B23" s="286" t="s">
        <v>424</v>
      </c>
      <c r="C23" s="455">
        <f>SUM(C18:C22)</f>
        <v>6.8500297156390815</v>
      </c>
      <c r="D23" s="420">
        <f>SUM(D18:D22)</f>
        <v>6.8500297156390815</v>
      </c>
      <c r="E23" s="651">
        <f t="shared" si="1"/>
        <v>0</v>
      </c>
    </row>
    <row r="24" spans="2:15">
      <c r="B24" s="67"/>
      <c r="C24" s="583"/>
      <c r="D24" s="14"/>
      <c r="E24" s="651">
        <f t="shared" si="1"/>
        <v>0</v>
      </c>
    </row>
    <row r="25" spans="2:15">
      <c r="B25" s="63" t="s">
        <v>115</v>
      </c>
      <c r="C25" s="455">
        <f>C23+C15</f>
        <v>81.809034999999994</v>
      </c>
      <c r="D25" s="420">
        <f>D23+D15</f>
        <v>81.809034999999994</v>
      </c>
      <c r="E25" s="651">
        <f t="shared" si="1"/>
        <v>0</v>
      </c>
    </row>
    <row r="26" spans="2:15">
      <c r="B26" s="181"/>
      <c r="F26" s="326"/>
      <c r="G26" s="327"/>
      <c r="H26" s="392"/>
      <c r="I26" s="392"/>
    </row>
    <row r="27" spans="2:15">
      <c r="B27" s="181"/>
      <c r="F27" s="326"/>
      <c r="G27" s="327"/>
      <c r="H27" s="392"/>
      <c r="I27" s="392"/>
    </row>
    <row r="28" spans="2:15">
      <c r="B28" s="46" t="s">
        <v>281</v>
      </c>
      <c r="C28" s="154"/>
      <c r="D28" s="154"/>
      <c r="E28" s="154"/>
      <c r="F28" s="154"/>
      <c r="G28" s="154"/>
      <c r="H28" s="154"/>
      <c r="I28" s="154"/>
      <c r="J28" s="154"/>
      <c r="K28" s="154"/>
      <c r="L28" s="154"/>
      <c r="M28" s="154"/>
      <c r="N28" s="154"/>
      <c r="O28" s="62"/>
    </row>
    <row r="29" spans="2:15">
      <c r="B29" s="46"/>
      <c r="C29" s="154"/>
      <c r="D29" s="154"/>
      <c r="E29" s="154"/>
      <c r="F29" s="154"/>
      <c r="G29" s="154"/>
      <c r="H29" s="154"/>
      <c r="I29" s="154"/>
      <c r="J29" s="154"/>
      <c r="K29" s="154"/>
      <c r="L29" s="154"/>
      <c r="M29" s="154"/>
      <c r="N29" s="154"/>
      <c r="O29" s="62"/>
    </row>
    <row r="30" spans="2:15" ht="15" customHeight="1">
      <c r="B30" s="1383" t="s">
        <v>266</v>
      </c>
      <c r="C30" s="1380" t="s">
        <v>146</v>
      </c>
      <c r="D30" s="1381"/>
      <c r="E30" s="1382"/>
      <c r="F30" s="1380" t="s">
        <v>147</v>
      </c>
      <c r="G30" s="1381"/>
      <c r="H30" s="1381"/>
      <c r="I30" s="1381"/>
      <c r="J30" s="1382"/>
      <c r="K30" s="1365" t="s">
        <v>148</v>
      </c>
      <c r="L30" s="1365"/>
      <c r="M30" s="1365" t="s">
        <v>149</v>
      </c>
      <c r="N30" s="1365"/>
    </row>
    <row r="31" spans="2:15" ht="42.75">
      <c r="B31" s="1384"/>
      <c r="C31" s="419" t="s">
        <v>413</v>
      </c>
      <c r="D31" s="412" t="s">
        <v>672</v>
      </c>
      <c r="E31" s="412" t="s">
        <v>415</v>
      </c>
      <c r="F31" s="412" t="s">
        <v>413</v>
      </c>
      <c r="G31" s="412" t="s">
        <v>673</v>
      </c>
      <c r="H31" s="412" t="s">
        <v>1309</v>
      </c>
      <c r="I31" s="412" t="s">
        <v>1310</v>
      </c>
      <c r="J31" s="412" t="s">
        <v>417</v>
      </c>
      <c r="K31" s="412" t="s">
        <v>413</v>
      </c>
      <c r="L31" s="412" t="s">
        <v>689</v>
      </c>
      <c r="M31" s="412" t="s">
        <v>413</v>
      </c>
      <c r="N31" s="412" t="s">
        <v>689</v>
      </c>
    </row>
    <row r="32" spans="2:15">
      <c r="B32" s="1385"/>
      <c r="C32" s="412" t="s">
        <v>419</v>
      </c>
      <c r="D32" s="412" t="s">
        <v>420</v>
      </c>
      <c r="E32" s="412" t="s">
        <v>675</v>
      </c>
      <c r="F32" s="412" t="s">
        <v>676</v>
      </c>
      <c r="G32" s="412" t="s">
        <v>593</v>
      </c>
      <c r="H32" s="412" t="s">
        <v>677</v>
      </c>
      <c r="I32" s="412" t="s">
        <v>678</v>
      </c>
      <c r="J32" s="412" t="s">
        <v>679</v>
      </c>
      <c r="K32" s="412" t="s">
        <v>709</v>
      </c>
      <c r="L32" s="412" t="s">
        <v>596</v>
      </c>
      <c r="M32" s="412" t="s">
        <v>710</v>
      </c>
      <c r="N32" s="412" t="s">
        <v>711</v>
      </c>
    </row>
    <row r="33" spans="2:14">
      <c r="B33" s="132" t="str">
        <f>B79</f>
        <v>HT Category</v>
      </c>
      <c r="C33" s="41"/>
      <c r="D33" s="41"/>
      <c r="E33" s="191"/>
      <c r="F33" s="191"/>
      <c r="G33" s="14"/>
      <c r="H33" s="14"/>
      <c r="I33" s="14"/>
      <c r="J33" s="14"/>
      <c r="K33" s="14"/>
      <c r="L33" s="14"/>
      <c r="M33" s="14"/>
      <c r="N33" s="14"/>
    </row>
    <row r="34" spans="2:14">
      <c r="B34" s="148" t="str">
        <f t="shared" ref="B34:B35" si="4">B80</f>
        <v>HT I</v>
      </c>
      <c r="C34" s="651">
        <f>'MYT cal'!AA19</f>
        <v>83.948998411753394</v>
      </c>
      <c r="D34" s="444">
        <f>O80</f>
        <v>75.479349625421648</v>
      </c>
      <c r="E34" s="661">
        <f>C34-D34</f>
        <v>8.4696487863317458</v>
      </c>
      <c r="F34" s="548">
        <f>'MYT cal'!AA32</f>
        <v>96.865783081861281</v>
      </c>
      <c r="G34" s="448">
        <f>SUM(C101:H101)</f>
        <v>40.100861024012538</v>
      </c>
      <c r="H34" s="448">
        <f>SUM(I101:N101)</f>
        <v>35.856456119580173</v>
      </c>
      <c r="I34" s="448">
        <f>H34+G34</f>
        <v>75.957317143592718</v>
      </c>
      <c r="J34" s="651">
        <f>F34-I34</f>
        <v>20.908465938268563</v>
      </c>
      <c r="K34" s="583">
        <f>'MYT cal'!AA45</f>
        <v>103.87308825567506</v>
      </c>
      <c r="L34" s="444">
        <f>O121</f>
        <v>80.349968082409575</v>
      </c>
      <c r="M34" s="448">
        <f>'MYT cal'!AA58</f>
        <v>110.95046648122698</v>
      </c>
      <c r="N34" s="448">
        <f>O136</f>
        <v>81.153467763233664</v>
      </c>
    </row>
    <row r="35" spans="2:14">
      <c r="B35" s="148" t="str">
        <f t="shared" si="4"/>
        <v>HT II</v>
      </c>
      <c r="C35" s="651">
        <f>'MYT cal'!AA20</f>
        <v>3.7504865868833264</v>
      </c>
      <c r="D35" s="444">
        <f>O81</f>
        <v>0</v>
      </c>
      <c r="E35" s="661">
        <f t="shared" ref="E35:E46" si="5">C35-D35</f>
        <v>3.7504865868833264</v>
      </c>
      <c r="F35" s="548">
        <f>'MYT cal'!AA33</f>
        <v>3.7504865868833264</v>
      </c>
      <c r="G35" s="448">
        <f>SUM(C102:H102)</f>
        <v>0</v>
      </c>
      <c r="H35" s="448">
        <f>SUM(I102:N102)</f>
        <v>0</v>
      </c>
      <c r="I35" s="448">
        <f>H35+G35</f>
        <v>0</v>
      </c>
      <c r="J35" s="651">
        <f t="shared" ref="J35:J46" si="6">F35-I35</f>
        <v>3.7504865868833264</v>
      </c>
      <c r="K35" s="583">
        <f>'MYT cal'!AA46</f>
        <v>1.9763972498536084</v>
      </c>
      <c r="L35" s="444">
        <f>O122</f>
        <v>5.0459413435846479</v>
      </c>
      <c r="M35" s="14">
        <f>'MYT cal'!AA59</f>
        <v>0</v>
      </c>
      <c r="N35" s="448">
        <f>O137</f>
        <v>6.0551296123015774</v>
      </c>
    </row>
    <row r="36" spans="2:14">
      <c r="B36" s="286" t="s">
        <v>424</v>
      </c>
      <c r="C36" s="444">
        <f>SUM(C34:C35)</f>
        <v>87.69948499863672</v>
      </c>
      <c r="D36" s="444">
        <f>SUM(D34:D35)</f>
        <v>75.479349625421648</v>
      </c>
      <c r="E36" s="661">
        <f t="shared" si="5"/>
        <v>12.220135373215072</v>
      </c>
      <c r="F36" s="583">
        <f>SUM(F34:F35)</f>
        <v>100.61626966874461</v>
      </c>
      <c r="G36" s="448">
        <f>SUM(G34:G35)</f>
        <v>40.100861024012538</v>
      </c>
      <c r="H36" s="448">
        <f>SUM(H34:H35)</f>
        <v>35.856456119580173</v>
      </c>
      <c r="I36" s="448">
        <f>SUM(I34:I35)</f>
        <v>75.957317143592718</v>
      </c>
      <c r="J36" s="651">
        <f t="shared" si="6"/>
        <v>24.658952525151889</v>
      </c>
      <c r="K36" s="583">
        <f>SUM(K34:K35)</f>
        <v>105.84948550552866</v>
      </c>
      <c r="L36" s="444">
        <f>SUM(L34:L35)</f>
        <v>85.395909425994219</v>
      </c>
      <c r="M36" s="444">
        <f>SUM(M34:M35)</f>
        <v>110.95046648122698</v>
      </c>
      <c r="N36" s="448">
        <f>SUM(N34:N35)</f>
        <v>87.208597375535248</v>
      </c>
    </row>
    <row r="37" spans="2:14">
      <c r="B37" s="67"/>
      <c r="C37" s="41"/>
      <c r="D37" s="14"/>
      <c r="E37" s="661"/>
      <c r="F37" s="662"/>
      <c r="G37" s="14"/>
      <c r="H37" s="14"/>
      <c r="I37" s="14"/>
      <c r="J37" s="651"/>
      <c r="K37" s="583"/>
      <c r="L37" s="14"/>
      <c r="M37" s="14"/>
      <c r="N37" s="14"/>
    </row>
    <row r="38" spans="2:14">
      <c r="B38" s="132" t="str">
        <f>B82</f>
        <v>LT Category</v>
      </c>
      <c r="C38" s="41"/>
      <c r="D38" s="14"/>
      <c r="E38" s="661"/>
      <c r="F38" s="662"/>
      <c r="G38" s="14"/>
      <c r="H38" s="14"/>
      <c r="I38" s="14"/>
      <c r="J38" s="651"/>
      <c r="K38" s="583"/>
      <c r="L38" s="14"/>
      <c r="M38" s="14"/>
      <c r="N38" s="14"/>
    </row>
    <row r="39" spans="2:14">
      <c r="B39" s="148" t="str">
        <f t="shared" ref="B39:B43" si="7">B83</f>
        <v>LT I (G-P)</v>
      </c>
      <c r="C39" s="583">
        <f>'MYT cal'!AA22</f>
        <v>0</v>
      </c>
      <c r="D39" s="583">
        <f>O83</f>
        <v>0</v>
      </c>
      <c r="E39" s="548">
        <f t="shared" si="5"/>
        <v>0</v>
      </c>
      <c r="F39" s="548">
        <f>'MYT cal'!AA35</f>
        <v>0</v>
      </c>
      <c r="G39" s="583">
        <f>SUM(C104:H104)</f>
        <v>0</v>
      </c>
      <c r="H39" s="583">
        <f>SUM(I104:N104)</f>
        <v>0</v>
      </c>
      <c r="I39" s="583">
        <f t="shared" ref="I39:I43" si="8">H39+G39</f>
        <v>0</v>
      </c>
      <c r="J39" s="583">
        <f t="shared" si="6"/>
        <v>0</v>
      </c>
      <c r="K39" s="583">
        <f>'MYT cal'!AA48</f>
        <v>0</v>
      </c>
      <c r="L39" s="583">
        <f>O124</f>
        <v>0</v>
      </c>
      <c r="M39" s="583">
        <f>'MYT cal'!AA61</f>
        <v>0</v>
      </c>
      <c r="N39" s="583">
        <f>O139</f>
        <v>0</v>
      </c>
    </row>
    <row r="40" spans="2:14">
      <c r="B40" s="148" t="str">
        <f t="shared" si="7"/>
        <v>LT II (A)</v>
      </c>
      <c r="C40" s="583">
        <f>'MYT cal'!AA23</f>
        <v>0.11659690208241839</v>
      </c>
      <c r="D40" s="583">
        <f t="shared" ref="D40:D43" si="9">O84</f>
        <v>0.31872139090321239</v>
      </c>
      <c r="E40" s="548">
        <f t="shared" si="5"/>
        <v>-0.20212448882079398</v>
      </c>
      <c r="F40" s="548">
        <f>'MYT cal'!AA36</f>
        <v>0.11776287110324259</v>
      </c>
      <c r="G40" s="583">
        <f t="shared" ref="G40:G43" si="10">SUM(C105:H105)</f>
        <v>0.29346769986027182</v>
      </c>
      <c r="H40" s="583">
        <f t="shared" ref="H40:H43" si="11">SUM(I105:N105)</f>
        <v>0.34410565888461964</v>
      </c>
      <c r="I40" s="583">
        <f t="shared" si="8"/>
        <v>0.63757335874489152</v>
      </c>
      <c r="J40" s="583">
        <f t="shared" si="6"/>
        <v>-0.51981048764164894</v>
      </c>
      <c r="K40" s="583">
        <f>'MYT cal'!AA49</f>
        <v>0.11894049981427499</v>
      </c>
      <c r="L40" s="583">
        <f t="shared" ref="L40:L43" si="12">O125</f>
        <v>0.64394909233234043</v>
      </c>
      <c r="M40" s="583">
        <f>'MYT cal'!AA62</f>
        <v>0.12012990481241777</v>
      </c>
      <c r="N40" s="583">
        <f t="shared" ref="N40:N43" si="13">O140</f>
        <v>0.65038858325566384</v>
      </c>
    </row>
    <row r="41" spans="2:14">
      <c r="B41" s="148" t="str">
        <f t="shared" si="7"/>
        <v>LT II (B)</v>
      </c>
      <c r="C41" s="583">
        <f>'MYT cal'!AA24</f>
        <v>0.30592744382228076</v>
      </c>
      <c r="D41" s="583">
        <f t="shared" si="9"/>
        <v>0.46686177506575927</v>
      </c>
      <c r="E41" s="548">
        <f t="shared" si="5"/>
        <v>-0.1609343312434785</v>
      </c>
      <c r="F41" s="548">
        <f>'MYT cal'!AA37</f>
        <v>0.30898671826050361</v>
      </c>
      <c r="G41" s="583">
        <f t="shared" si="10"/>
        <v>0.23248974921289056</v>
      </c>
      <c r="H41" s="583">
        <f t="shared" si="11"/>
        <v>0.14573786688991514</v>
      </c>
      <c r="I41" s="583">
        <f t="shared" si="8"/>
        <v>0.3782276161028057</v>
      </c>
      <c r="J41" s="583">
        <f t="shared" si="6"/>
        <v>-6.9240897842302085E-2</v>
      </c>
      <c r="K41" s="583">
        <f>'MYT cal'!AA50</f>
        <v>0.31207658544310868</v>
      </c>
      <c r="L41" s="583">
        <f t="shared" si="12"/>
        <v>0.38200989226383375</v>
      </c>
      <c r="M41" s="583">
        <f>'MYT cal'!AA63</f>
        <v>0.31519735129753967</v>
      </c>
      <c r="N41" s="583">
        <f t="shared" si="13"/>
        <v>0.38582999118647215</v>
      </c>
    </row>
    <row r="42" spans="2:14">
      <c r="B42" s="148" t="str">
        <f t="shared" si="7"/>
        <v>LT III (A)</v>
      </c>
      <c r="C42" s="583">
        <f>'MYT cal'!AA25</f>
        <v>0.29998157892329086</v>
      </c>
      <c r="D42" s="583">
        <f t="shared" si="9"/>
        <v>0.18951235226690713</v>
      </c>
      <c r="E42" s="548">
        <f t="shared" si="5"/>
        <v>0.11046922665638373</v>
      </c>
      <c r="F42" s="548">
        <f>'MYT cal'!AA38</f>
        <v>0.30298139471252383</v>
      </c>
      <c r="G42" s="583">
        <f t="shared" si="10"/>
        <v>3.5933157495934998E-3</v>
      </c>
      <c r="H42" s="583">
        <f t="shared" si="11"/>
        <v>2.7032116965851677E-3</v>
      </c>
      <c r="I42" s="583">
        <f t="shared" si="8"/>
        <v>6.2965274461786675E-3</v>
      </c>
      <c r="J42" s="583">
        <f t="shared" si="6"/>
        <v>0.29668486726634519</v>
      </c>
      <c r="K42" s="583">
        <f>'MYT cal'!AA51</f>
        <v>0.30601120865964898</v>
      </c>
      <c r="L42" s="583">
        <f t="shared" si="12"/>
        <v>6.3594927206404549E-3</v>
      </c>
      <c r="M42" s="583">
        <f>'MYT cal'!AA64</f>
        <v>0.30907132074624555</v>
      </c>
      <c r="N42" s="583">
        <f t="shared" si="13"/>
        <v>6.4230876478468587E-3</v>
      </c>
    </row>
    <row r="43" spans="2:14">
      <c r="B43" s="148" t="str">
        <f t="shared" si="7"/>
        <v>LT III (B)</v>
      </c>
      <c r="C43" s="583">
        <f>'MYT cal'!AA26</f>
        <v>6.3796190419320009</v>
      </c>
      <c r="D43" s="583">
        <f t="shared" si="9"/>
        <v>7.0996548563424788</v>
      </c>
      <c r="E43" s="548">
        <f t="shared" si="5"/>
        <v>-0.72003581441047793</v>
      </c>
      <c r="F43" s="548">
        <f>'MYT cal'!AA39</f>
        <v>6.4434152323513203</v>
      </c>
      <c r="G43" s="583">
        <f t="shared" si="10"/>
        <v>3.7395817247044341</v>
      </c>
      <c r="H43" s="583">
        <f t="shared" si="11"/>
        <v>3.4546036294089726</v>
      </c>
      <c r="I43" s="583">
        <f t="shared" si="8"/>
        <v>7.1941853541134062</v>
      </c>
      <c r="J43" s="583">
        <f t="shared" si="6"/>
        <v>-0.75077012176208591</v>
      </c>
      <c r="K43" s="583">
        <f>'MYT cal'!AA52</f>
        <v>6.5078493846748344</v>
      </c>
      <c r="L43" s="583">
        <f t="shared" si="12"/>
        <v>7.2661272076545416</v>
      </c>
      <c r="M43" s="583">
        <f>'MYT cal'!AA65</f>
        <v>6.5729278785215834</v>
      </c>
      <c r="N43" s="583">
        <f t="shared" si="13"/>
        <v>7.3387884797310869</v>
      </c>
    </row>
    <row r="44" spans="2:14">
      <c r="B44" s="286" t="s">
        <v>424</v>
      </c>
      <c r="C44" s="455">
        <f>SUM(C39:C43)</f>
        <v>7.1021249667599911</v>
      </c>
      <c r="D44" s="455">
        <f>SUM(D39:D43)</f>
        <v>8.0747503745783575</v>
      </c>
      <c r="E44" s="662">
        <f t="shared" si="5"/>
        <v>-0.97262540781836648</v>
      </c>
      <c r="F44" s="455">
        <f>SUM(F39:F43)</f>
        <v>7.1731462164275905</v>
      </c>
      <c r="G44" s="455">
        <f>SUM(G39:G43)</f>
        <v>4.2691324895271903</v>
      </c>
      <c r="H44" s="455">
        <f>SUM(H39:H43)</f>
        <v>3.9471503668800927</v>
      </c>
      <c r="I44" s="455">
        <f>SUM(I39:I43)</f>
        <v>8.2162828564072825</v>
      </c>
      <c r="J44" s="455">
        <f t="shared" si="6"/>
        <v>-1.043136639979692</v>
      </c>
      <c r="K44" s="455">
        <f>SUM(K39:K43)</f>
        <v>7.2448776785918669</v>
      </c>
      <c r="L44" s="455">
        <f>SUM(L39:L43)</f>
        <v>8.2984456849713553</v>
      </c>
      <c r="M44" s="455">
        <f>SUM(M39:M43)</f>
        <v>7.3173264553777866</v>
      </c>
      <c r="N44" s="455">
        <f>SUM(N39:N43)</f>
        <v>8.3814301418210704</v>
      </c>
    </row>
    <row r="45" spans="2:14">
      <c r="B45" s="67"/>
      <c r="C45" s="583"/>
      <c r="D45" s="583"/>
      <c r="E45" s="662">
        <f t="shared" si="5"/>
        <v>0</v>
      </c>
      <c r="F45" s="662"/>
      <c r="G45" s="583"/>
      <c r="H45" s="583"/>
      <c r="I45" s="583"/>
      <c r="J45" s="583"/>
      <c r="K45" s="583"/>
      <c r="L45" s="583"/>
      <c r="M45" s="583"/>
      <c r="N45" s="583"/>
    </row>
    <row r="46" spans="2:14">
      <c r="B46" s="63" t="s">
        <v>115</v>
      </c>
      <c r="C46" s="660">
        <f>C44+C36</f>
        <v>94.801609965396707</v>
      </c>
      <c r="D46" s="660">
        <f>D44+D36</f>
        <v>83.554100000000005</v>
      </c>
      <c r="E46" s="662">
        <f t="shared" si="5"/>
        <v>11.247509965396702</v>
      </c>
      <c r="F46" s="660">
        <f>F44+F36</f>
        <v>107.7894158851722</v>
      </c>
      <c r="G46" s="660">
        <f>G44+G36</f>
        <v>44.369993513539725</v>
      </c>
      <c r="H46" s="660">
        <f>H44+H36</f>
        <v>39.803606486460268</v>
      </c>
      <c r="I46" s="660">
        <f>I44+I36</f>
        <v>84.173599999999993</v>
      </c>
      <c r="J46" s="455">
        <f t="shared" si="6"/>
        <v>23.615815885172211</v>
      </c>
      <c r="K46" s="660">
        <f>K44+K36</f>
        <v>113.09436318412052</v>
      </c>
      <c r="L46" s="660">
        <f>L44+L36</f>
        <v>93.694355110965574</v>
      </c>
      <c r="M46" s="660">
        <f>M44+M36</f>
        <v>118.26779293660476</v>
      </c>
      <c r="N46" s="660">
        <f>N44+N36</f>
        <v>95.590027517356319</v>
      </c>
    </row>
    <row r="47" spans="2:14">
      <c r="B47" s="181"/>
      <c r="F47" s="326"/>
      <c r="G47" s="327"/>
      <c r="H47" s="392"/>
      <c r="I47" s="392"/>
    </row>
    <row r="48" spans="2:14">
      <c r="B48" s="181"/>
      <c r="F48" s="326"/>
      <c r="G48" s="327"/>
      <c r="H48" s="392"/>
      <c r="I48" s="392"/>
    </row>
    <row r="49" spans="2:17">
      <c r="B49" s="181"/>
      <c r="F49" s="326"/>
      <c r="G49" s="327"/>
      <c r="H49" s="392"/>
      <c r="I49" s="392"/>
    </row>
    <row r="50" spans="2:17">
      <c r="B50" s="181" t="s">
        <v>450</v>
      </c>
    </row>
    <row r="51" spans="2:17">
      <c r="B51" s="39" t="s">
        <v>451</v>
      </c>
    </row>
    <row r="52" spans="2:17">
      <c r="B52" s="39" t="s">
        <v>734</v>
      </c>
    </row>
    <row r="53" spans="2:17">
      <c r="B53" s="181"/>
    </row>
    <row r="54" spans="2:17">
      <c r="B54" s="46" t="s">
        <v>548</v>
      </c>
    </row>
    <row r="55" spans="2:17">
      <c r="B55" s="181"/>
    </row>
    <row r="56" spans="2:17">
      <c r="B56" s="46" t="s">
        <v>681</v>
      </c>
      <c r="C56" s="154"/>
      <c r="D56" s="154"/>
      <c r="E56" s="154"/>
      <c r="F56" s="154"/>
      <c r="G56" s="154"/>
      <c r="H56" s="154"/>
      <c r="I56" s="154"/>
      <c r="J56" s="154"/>
      <c r="K56" s="154"/>
      <c r="L56" s="154"/>
      <c r="M56" s="154"/>
      <c r="N56" s="154"/>
      <c r="O56" s="62"/>
      <c r="P56" s="62"/>
      <c r="Q56" s="62"/>
    </row>
    <row r="57" spans="2:17">
      <c r="B57" s="46"/>
      <c r="C57" s="52"/>
      <c r="D57" s="52"/>
      <c r="O57" s="52" t="s">
        <v>117</v>
      </c>
    </row>
    <row r="58" spans="2:17" s="38" customFormat="1" ht="28.5">
      <c r="B58" s="412" t="s">
        <v>266</v>
      </c>
      <c r="C58" s="412" t="s">
        <v>118</v>
      </c>
      <c r="D58" s="412" t="s">
        <v>119</v>
      </c>
      <c r="E58" s="412" t="s">
        <v>120</v>
      </c>
      <c r="F58" s="412" t="s">
        <v>121</v>
      </c>
      <c r="G58" s="412" t="s">
        <v>122</v>
      </c>
      <c r="H58" s="412" t="s">
        <v>123</v>
      </c>
      <c r="I58" s="412" t="s">
        <v>124</v>
      </c>
      <c r="J58" s="412" t="s">
        <v>125</v>
      </c>
      <c r="K58" s="412" t="s">
        <v>126</v>
      </c>
      <c r="L58" s="412" t="s">
        <v>127</v>
      </c>
      <c r="M58" s="412" t="s">
        <v>128</v>
      </c>
      <c r="N58" s="412" t="s">
        <v>129</v>
      </c>
      <c r="O58" s="412" t="s">
        <v>115</v>
      </c>
    </row>
    <row r="59" spans="2:17" s="39" customFormat="1">
      <c r="B59" s="36"/>
      <c r="C59" s="36"/>
      <c r="D59" s="36"/>
      <c r="E59" s="36"/>
      <c r="F59" s="36"/>
      <c r="G59" s="36"/>
      <c r="H59" s="36"/>
      <c r="I59" s="36"/>
      <c r="J59" s="36"/>
      <c r="K59" s="36"/>
      <c r="L59" s="36"/>
      <c r="M59" s="36"/>
      <c r="N59" s="36"/>
      <c r="O59" s="36"/>
    </row>
    <row r="60" spans="2:17" s="10" customFormat="1">
      <c r="B60" s="441" t="str">
        <f>Backup!A6</f>
        <v>HT Category</v>
      </c>
      <c r="C60" s="442"/>
      <c r="D60" s="442"/>
      <c r="E60" s="442"/>
      <c r="F60" s="442"/>
      <c r="G60" s="442"/>
      <c r="H60" s="442"/>
      <c r="I60" s="442"/>
      <c r="J60" s="442"/>
      <c r="K60" s="442"/>
      <c r="L60" s="442"/>
      <c r="M60" s="442"/>
      <c r="N60" s="442"/>
      <c r="O60" s="441"/>
    </row>
    <row r="61" spans="2:17" s="10" customFormat="1">
      <c r="B61" s="442" t="str">
        <f>Backup!A7</f>
        <v>HT I</v>
      </c>
      <c r="C61" s="442">
        <f>'F1'!C58/(1-'F1.3'!$J$11)</f>
        <v>4.7640989233097182</v>
      </c>
      <c r="D61" s="442">
        <f>'F1'!D58/(1-'F1.3'!$J$11)</f>
        <v>6.6720539004531059</v>
      </c>
      <c r="E61" s="442">
        <f>'F1'!E58/(1-'F1.3'!$J$11)</f>
        <v>6.5069904492572856</v>
      </c>
      <c r="F61" s="442">
        <f>'F1'!F58/(1-'F1.3'!$J$11)</f>
        <v>6.792266654561665</v>
      </c>
      <c r="G61" s="442">
        <f>'F1'!G58/(1-'F1.3'!$J$11)</f>
        <v>6.4691899742328225</v>
      </c>
      <c r="H61" s="442">
        <f>'F1'!H58/(1-'F1.3'!$J$11)</f>
        <v>6.4042578441095586</v>
      </c>
      <c r="I61" s="442">
        <f>'F1'!I58/(1-'F1.3'!$J$11)</f>
        <v>6.8702152971620745</v>
      </c>
      <c r="J61" s="442">
        <f>'F1'!J58/(1-'F1.3'!$J$11)</f>
        <v>6.2387453343745554</v>
      </c>
      <c r="K61" s="442">
        <f>'F1'!K58/(1-'F1.3'!$J$11)</f>
        <v>6.1092022127851742</v>
      </c>
      <c r="L61" s="442">
        <f>'F1'!L58/(1-'F1.3'!$J$11)</f>
        <v>5.6889115081280019</v>
      </c>
      <c r="M61" s="442">
        <f>'F1'!M58/(1-'F1.3'!$J$11)</f>
        <v>5.7839138534522831</v>
      </c>
      <c r="N61" s="442">
        <f>'F1'!N58/(1-'F1.3'!$J$11)</f>
        <v>6.5530861519266432</v>
      </c>
      <c r="O61" s="441">
        <f t="shared" ref="O61:O68" si="14">SUM(C61:N61)</f>
        <v>74.852932103752906</v>
      </c>
      <c r="P61" s="665"/>
    </row>
    <row r="62" spans="2:17" s="10" customFormat="1">
      <c r="B62" s="442" t="str">
        <f>Backup!A8</f>
        <v>HT II</v>
      </c>
      <c r="C62" s="442">
        <f>'F1'!C59/(1-'F1.3'!$J$11)</f>
        <v>5.5856283438816712E-2</v>
      </c>
      <c r="D62" s="442">
        <f>'F1'!D59/(1-'F1.3'!$J$11)</f>
        <v>1.3989051308469303E-2</v>
      </c>
      <c r="E62" s="442">
        <f>'F1'!E59/(1-'F1.3'!$J$11)</f>
        <v>4.1189762359837255E-3</v>
      </c>
      <c r="F62" s="442">
        <f>'F1'!F59/(1-'F1.3'!$J$11)</f>
        <v>3.9978710203704059E-3</v>
      </c>
      <c r="G62" s="442">
        <f>'F1'!G59/(1-'F1.3'!$J$11)</f>
        <v>4.3208182620059253E-3</v>
      </c>
      <c r="H62" s="442">
        <f>'F1'!H59/(1-'F1.3'!$J$11)</f>
        <v>4.6841339088458849E-3</v>
      </c>
      <c r="I62" s="442">
        <f>'F1'!I59/(1-'F1.3'!$J$11)</f>
        <v>5.8548176597746446E-3</v>
      </c>
      <c r="J62" s="442">
        <f>'F1'!J59/(1-'F1.3'!$J$11)</f>
        <v>5.1685547712991657E-3</v>
      </c>
      <c r="K62" s="442">
        <f>'F1'!K59/(1-'F1.3'!$J$11)</f>
        <v>4.8052391244592053E-3</v>
      </c>
      <c r="L62" s="442">
        <f>'F1'!L59/(1-'F1.3'!$J$11)</f>
        <v>3.2774348779842366E-3</v>
      </c>
      <c r="M62" s="442">
        <f>'F1'!M59/(1-'F1.3'!$J$11)</f>
        <v>0</v>
      </c>
      <c r="N62" s="442">
        <f>'F1'!N59/(1-'F1.3'!$J$11)</f>
        <v>0</v>
      </c>
      <c r="O62" s="441">
        <f t="shared" si="14"/>
        <v>0.10607318060800922</v>
      </c>
    </row>
    <row r="63" spans="2:17" s="10" customFormat="1">
      <c r="B63" s="441" t="str">
        <f>Backup!A9</f>
        <v>LT Category</v>
      </c>
      <c r="C63" s="442"/>
      <c r="D63" s="442"/>
      <c r="E63" s="442"/>
      <c r="F63" s="442"/>
      <c r="G63" s="442"/>
      <c r="H63" s="442"/>
      <c r="I63" s="442"/>
      <c r="J63" s="442"/>
      <c r="K63" s="442"/>
      <c r="L63" s="442"/>
      <c r="M63" s="442"/>
      <c r="N63" s="442"/>
      <c r="O63" s="441"/>
    </row>
    <row r="64" spans="2:17" s="10" customFormat="1">
      <c r="B64" s="442" t="str">
        <f>Backup!A10</f>
        <v>LT II A</v>
      </c>
      <c r="C64" s="442">
        <f>'F1'!C61/(1-'F1.3'!$J$11)</f>
        <v>7.0964458851963562E-3</v>
      </c>
      <c r="D64" s="442">
        <f>'F1'!D61/(1-'F1.3'!$J$11)</f>
        <v>9.3628720407585055E-3</v>
      </c>
      <c r="E64" s="442">
        <f>'F1'!E61/(1-'F1.3'!$J$11)</f>
        <v>9.1957028776222978E-3</v>
      </c>
      <c r="F64" s="442">
        <f>'F1'!F61/(1-'F1.3'!$J$11)</f>
        <v>9.6225687861207325E-3</v>
      </c>
      <c r="G64" s="442">
        <f>'F1'!G61/(1-'F1.3'!$J$11)</f>
        <v>7.0926488569840566E-3</v>
      </c>
      <c r="H64" s="442">
        <f>'F1'!H61/(1-'F1.3'!$J$11)</f>
        <v>6.7808928563953133E-3</v>
      </c>
      <c r="I64" s="442">
        <f>'F1'!I61/(1-'F1.3'!$J$11)</f>
        <v>1.4809209402325845E-2</v>
      </c>
      <c r="J64" s="442">
        <f>'F1'!J61/(1-'F1.3'!$J$11)</f>
        <v>9.5182504320775758E-3</v>
      </c>
      <c r="K64" s="442">
        <f>'F1'!K61/(1-'F1.3'!$J$11)</f>
        <v>1.1622103827076298E-2</v>
      </c>
      <c r="L64" s="442">
        <f>'F1'!L61/(1-'F1.3'!$J$11)</f>
        <v>8.8603653333992755E-3</v>
      </c>
      <c r="M64" s="442">
        <f>'F1'!M61/(1-'F1.3'!$J$11)</f>
        <v>8.108054138388809E-3</v>
      </c>
      <c r="N64" s="442">
        <f>'F1'!N61/(1-'F1.3'!$J$11)</f>
        <v>9.9643013252276227E-3</v>
      </c>
      <c r="O64" s="441">
        <f t="shared" si="14"/>
        <v>0.11203341576157266</v>
      </c>
    </row>
    <row r="65" spans="2:18" s="10" customFormat="1">
      <c r="B65" s="442" t="str">
        <f>Backup!A11</f>
        <v>LT II B</v>
      </c>
      <c r="C65" s="442">
        <f>'F1'!C62/(1-'F1.3'!$J$11)</f>
        <v>1.2054565356098119E-2</v>
      </c>
      <c r="D65" s="442">
        <f>'F1'!D62/(1-'F1.3'!$J$11)</f>
        <v>2.0559908551647455E-2</v>
      </c>
      <c r="E65" s="442">
        <f>'F1'!E62/(1-'F1.3'!$J$11)</f>
        <v>2.4611337654170284E-2</v>
      </c>
      <c r="F65" s="442">
        <f>'F1'!F62/(1-'F1.3'!$J$11)</f>
        <v>2.881754561724182E-2</v>
      </c>
      <c r="G65" s="442">
        <f>'F1'!G62/(1-'F1.3'!$J$11)</f>
        <v>2.7006762847155533E-2</v>
      </c>
      <c r="H65" s="442">
        <f>'F1'!H62/(1-'F1.3'!$J$11)</f>
        <v>3.9203317074034613E-2</v>
      </c>
      <c r="I65" s="442">
        <f>'F1'!I62/(1-'F1.3'!$J$11)</f>
        <v>2.3519991808519561E-2</v>
      </c>
      <c r="J65" s="442">
        <f>'F1'!J62/(1-'F1.3'!$J$11)</f>
        <v>2.2325027061391101E-2</v>
      </c>
      <c r="K65" s="442">
        <f>'F1'!K62/(1-'F1.3'!$J$11)</f>
        <v>2.5428098406994771E-2</v>
      </c>
      <c r="L65" s="442">
        <f>'F1'!L62/(1-'F1.3'!$J$11)</f>
        <v>1.8234228771614434E-2</v>
      </c>
      <c r="M65" s="442">
        <f>'F1'!M62/(1-'F1.3'!$J$11)</f>
        <v>2.3802970332130882E-2</v>
      </c>
      <c r="N65" s="442">
        <f>'F1'!N62/(1-'F1.3'!$J$11)</f>
        <v>3.0777311783763316E-2</v>
      </c>
      <c r="O65" s="441">
        <f t="shared" si="14"/>
        <v>0.29634106526476189</v>
      </c>
    </row>
    <row r="66" spans="2:18" s="10" customFormat="1">
      <c r="B66" s="442" t="str">
        <f>Backup!A12</f>
        <v>LT II C</v>
      </c>
      <c r="C66" s="442">
        <f>'F1'!C63/(1-'F1.3'!$J$11)</f>
        <v>0</v>
      </c>
      <c r="D66" s="442">
        <f>'F1'!D63/(1-'F1.3'!$J$11)</f>
        <v>0</v>
      </c>
      <c r="E66" s="442">
        <f>'F1'!E63/(1-'F1.3'!$J$11)</f>
        <v>0</v>
      </c>
      <c r="F66" s="442">
        <f>'F1'!F63/(1-'F1.3'!$J$11)</f>
        <v>0</v>
      </c>
      <c r="G66" s="442">
        <f>'F1'!G63/(1-'F1.3'!$J$11)</f>
        <v>0</v>
      </c>
      <c r="H66" s="442">
        <f>'F1'!H63/(1-'F1.3'!$J$11)</f>
        <v>0</v>
      </c>
      <c r="I66" s="442">
        <f>'F1'!I63/(1-'F1.3'!$J$11)</f>
        <v>0</v>
      </c>
      <c r="J66" s="442">
        <f>'F1'!J63/(1-'F1.3'!$J$11)</f>
        <v>0</v>
      </c>
      <c r="K66" s="442">
        <f>'F1'!K63/(1-'F1.3'!$J$11)</f>
        <v>0</v>
      </c>
      <c r="L66" s="442">
        <f>'F1'!L63/(1-'F1.3'!$J$11)</f>
        <v>0</v>
      </c>
      <c r="M66" s="442">
        <f>'F1'!M63/(1-'F1.3'!$J$11)</f>
        <v>0</v>
      </c>
      <c r="N66" s="442">
        <f>'F1'!N63/(1-'F1.3'!$J$11)</f>
        <v>0</v>
      </c>
      <c r="O66" s="441">
        <f t="shared" si="14"/>
        <v>0</v>
      </c>
    </row>
    <row r="67" spans="2:18" s="10" customFormat="1">
      <c r="B67" s="442" t="str">
        <f>Backup!A13</f>
        <v>LT V A</v>
      </c>
      <c r="C67" s="442">
        <f>'F1'!C64/(1-'F1.3'!$J$11)</f>
        <v>1.5423928285538012E-2</v>
      </c>
      <c r="D67" s="442">
        <f>'F1'!D64/(1-'F1.3'!$J$11)</f>
        <v>2.2690441065927328E-2</v>
      </c>
      <c r="E67" s="442">
        <f>'F1'!E64/(1-'F1.3'!$J$11)</f>
        <v>2.2185236470101465E-2</v>
      </c>
      <c r="F67" s="442">
        <f>'F1'!F64/(1-'F1.3'!$J$11)</f>
        <v>2.3465734273801712E-2</v>
      </c>
      <c r="G67" s="442">
        <f>'F1'!G64/(1-'F1.3'!$J$11)</f>
        <v>2.4024596873575058E-2</v>
      </c>
      <c r="H67" s="442">
        <f>'F1'!H64/(1-'F1.3'!$J$11)</f>
        <v>2.2216711835545522E-2</v>
      </c>
      <c r="I67" s="442">
        <f>'F1'!I64/(1-'F1.3'!$J$11)</f>
        <v>2.6181408819955839E-2</v>
      </c>
      <c r="J67" s="442">
        <f>'F1'!J64/(1-'F1.3'!$J$11)</f>
        <v>2.5425200674938017E-2</v>
      </c>
      <c r="K67" s="442">
        <f>'F1'!K64/(1-'F1.3'!$J$11)</f>
        <v>2.6030826674799681E-2</v>
      </c>
      <c r="L67" s="442">
        <f>'F1'!L64/(1-'F1.3'!$J$11)</f>
        <v>2.6660134140090674E-2</v>
      </c>
      <c r="M67" s="442">
        <f>'F1'!M64/(1-'F1.3'!$J$11)</f>
        <v>2.5234649811757656E-2</v>
      </c>
      <c r="N67" s="442">
        <f>'F1'!N64/(1-'F1.3'!$J$11)</f>
        <v>2.9732229729225595E-2</v>
      </c>
      <c r="O67" s="441">
        <f t="shared" si="14"/>
        <v>0.28927109865525658</v>
      </c>
    </row>
    <row r="68" spans="2:18">
      <c r="B68" s="442" t="str">
        <f>Backup!A14</f>
        <v>LT V B</v>
      </c>
      <c r="C68" s="442">
        <f>'F1'!C65/(1-'F1.3'!$J$11)</f>
        <v>0.32652644033458683</v>
      </c>
      <c r="D68" s="442">
        <f>'F1'!D65/(1-'F1.3'!$J$11)</f>
        <v>0.46715837313862874</v>
      </c>
      <c r="E68" s="442">
        <f>'F1'!E65/(1-'F1.3'!$J$11)</f>
        <v>0.46350523231121704</v>
      </c>
      <c r="F68" s="442">
        <f>'F1'!F65/(1-'F1.3'!$J$11)</f>
        <v>0.45812344442925879</v>
      </c>
      <c r="G68" s="442">
        <f>'F1'!G65/(1-'F1.3'!$J$11)</f>
        <v>0.50139158012635432</v>
      </c>
      <c r="H68" s="442">
        <f>'F1'!H65/(1-'F1.3'!$J$11)</f>
        <v>0.56241918617019337</v>
      </c>
      <c r="I68" s="442">
        <f>'F1'!I65/(1-'F1.3'!$J$11)</f>
        <v>0.56832119689377514</v>
      </c>
      <c r="J68" s="442">
        <f>'F1'!J65/(1-'F1.3'!$J$11)</f>
        <v>0.54132432630433058</v>
      </c>
      <c r="K68" s="442">
        <f>'F1'!K65/(1-'F1.3'!$J$11)</f>
        <v>0.55930825097931847</v>
      </c>
      <c r="L68" s="442">
        <f>'F1'!L65/(1-'F1.3'!$J$11)</f>
        <v>0.54307495615379042</v>
      </c>
      <c r="M68" s="442">
        <f>'F1'!M65/(1-'F1.3'!$J$11)</f>
        <v>0.54919216844739394</v>
      </c>
      <c r="N68" s="442">
        <f>'F1'!N65/(1-'F1.3'!$J$11)</f>
        <v>0.61203898066864293</v>
      </c>
      <c r="O68" s="441">
        <f t="shared" si="14"/>
        <v>6.1523841359574902</v>
      </c>
    </row>
    <row r="69" spans="2:18">
      <c r="B69" s="441" t="str">
        <f>Backup!A15</f>
        <v>Total</v>
      </c>
      <c r="C69" s="441">
        <f>SUM(C60:C68)</f>
        <v>5.1810565866099543</v>
      </c>
      <c r="D69" s="441">
        <f t="shared" ref="D69:O69" si="15">SUM(D60:D68)</f>
        <v>7.2058145465585373</v>
      </c>
      <c r="E69" s="441">
        <f t="shared" si="15"/>
        <v>7.0306069348063804</v>
      </c>
      <c r="F69" s="441">
        <f t="shared" si="15"/>
        <v>7.3162938186884592</v>
      </c>
      <c r="G69" s="441">
        <f t="shared" si="15"/>
        <v>7.0330263811988969</v>
      </c>
      <c r="H69" s="441">
        <f t="shared" si="15"/>
        <v>7.0395620859545724</v>
      </c>
      <c r="I69" s="441">
        <f t="shared" si="15"/>
        <v>7.5089019217464257</v>
      </c>
      <c r="J69" s="441">
        <f t="shared" si="15"/>
        <v>6.8425066936185921</v>
      </c>
      <c r="K69" s="441">
        <f t="shared" si="15"/>
        <v>6.7363967317978224</v>
      </c>
      <c r="L69" s="441">
        <f t="shared" si="15"/>
        <v>6.2890186274048814</v>
      </c>
      <c r="M69" s="441">
        <f t="shared" si="15"/>
        <v>6.390251696181954</v>
      </c>
      <c r="N69" s="441">
        <f t="shared" si="15"/>
        <v>7.2355989754335042</v>
      </c>
      <c r="O69" s="441">
        <f t="shared" si="15"/>
        <v>81.809034999999994</v>
      </c>
    </row>
    <row r="70" spans="2:18">
      <c r="B70" s="181" t="s">
        <v>450</v>
      </c>
    </row>
    <row r="71" spans="2:18">
      <c r="B71" s="39" t="s">
        <v>451</v>
      </c>
    </row>
    <row r="72" spans="2:18" s="1" customFormat="1" ht="18">
      <c r="B72" s="42" t="s">
        <v>452</v>
      </c>
      <c r="C72" s="44"/>
      <c r="D72" s="44"/>
      <c r="E72" s="44"/>
      <c r="F72" s="44"/>
      <c r="G72" s="16"/>
      <c r="H72" s="16"/>
      <c r="I72" s="16"/>
      <c r="J72" s="16"/>
      <c r="K72" s="16"/>
      <c r="L72" s="16"/>
      <c r="M72" s="16"/>
      <c r="N72" s="16"/>
      <c r="O72" s="16"/>
      <c r="P72" s="43"/>
      <c r="Q72" s="43"/>
    </row>
    <row r="73" spans="2:18" s="1" customFormat="1" ht="18">
      <c r="B73" s="39" t="s">
        <v>578</v>
      </c>
      <c r="C73" s="44"/>
      <c r="D73" s="44"/>
      <c r="E73" s="44"/>
      <c r="F73" s="44"/>
      <c r="G73" s="16"/>
      <c r="H73" s="16"/>
      <c r="I73" s="16"/>
      <c r="J73" s="16"/>
      <c r="K73" s="16"/>
      <c r="L73" s="16"/>
      <c r="M73" s="16"/>
      <c r="N73" s="16"/>
      <c r="O73" s="16"/>
      <c r="P73" s="43"/>
      <c r="Q73" s="43"/>
    </row>
    <row r="74" spans="2:18" s="1" customFormat="1" ht="18">
      <c r="B74" s="39"/>
      <c r="C74" s="44"/>
      <c r="D74" s="44"/>
      <c r="E74" s="44"/>
      <c r="F74" s="44"/>
      <c r="G74" s="16"/>
      <c r="H74" s="16"/>
      <c r="I74" s="16"/>
      <c r="J74" s="16"/>
      <c r="K74" s="16"/>
      <c r="L74" s="16"/>
      <c r="M74" s="16"/>
      <c r="N74" s="16"/>
      <c r="O74" s="16"/>
      <c r="P74" s="43"/>
      <c r="Q74" s="43"/>
    </row>
    <row r="75" spans="2:18" s="1" customFormat="1" ht="18">
      <c r="B75" s="46" t="s">
        <v>682</v>
      </c>
      <c r="C75" s="154"/>
      <c r="D75" s="154"/>
      <c r="E75" s="154"/>
      <c r="F75" s="154"/>
      <c r="G75" s="154"/>
      <c r="H75" s="154"/>
      <c r="I75" s="154"/>
      <c r="J75" s="154"/>
      <c r="K75" s="154"/>
      <c r="L75" s="154"/>
      <c r="M75" s="154"/>
      <c r="N75" s="154"/>
      <c r="O75" s="62"/>
      <c r="P75" s="43"/>
      <c r="Q75" s="43"/>
      <c r="R75" s="59"/>
    </row>
    <row r="76" spans="2:18" s="1" customFormat="1" ht="18">
      <c r="B76" s="46"/>
      <c r="C76" s="52"/>
      <c r="D76" s="52"/>
      <c r="E76" s="155"/>
      <c r="F76" s="155"/>
      <c r="G76" s="155"/>
      <c r="H76" s="155"/>
      <c r="I76" s="155"/>
      <c r="J76" s="155"/>
      <c r="K76" s="155"/>
      <c r="L76" s="155"/>
      <c r="M76" s="155"/>
      <c r="N76" s="155"/>
      <c r="O76" s="52" t="s">
        <v>117</v>
      </c>
      <c r="P76" s="10"/>
      <c r="Q76" s="43"/>
    </row>
    <row r="77" spans="2:18" s="74" customFormat="1" ht="28.5">
      <c r="B77" s="269" t="s">
        <v>266</v>
      </c>
      <c r="C77" s="414" t="s">
        <v>118</v>
      </c>
      <c r="D77" s="414" t="s">
        <v>119</v>
      </c>
      <c r="E77" s="413" t="s">
        <v>120</v>
      </c>
      <c r="F77" s="413" t="s">
        <v>121</v>
      </c>
      <c r="G77" s="413" t="s">
        <v>122</v>
      </c>
      <c r="H77" s="413" t="s">
        <v>123</v>
      </c>
      <c r="I77" s="413" t="s">
        <v>124</v>
      </c>
      <c r="J77" s="413" t="s">
        <v>125</v>
      </c>
      <c r="K77" s="413" t="s">
        <v>126</v>
      </c>
      <c r="L77" s="413" t="s">
        <v>127</v>
      </c>
      <c r="M77" s="413" t="s">
        <v>128</v>
      </c>
      <c r="N77" s="413" t="s">
        <v>129</v>
      </c>
      <c r="O77" s="329" t="s">
        <v>283</v>
      </c>
      <c r="P77" s="54"/>
    </row>
    <row r="78" spans="2:18" s="39" customFormat="1">
      <c r="B78" s="98"/>
      <c r="C78" s="98"/>
      <c r="D78" s="98"/>
      <c r="E78" s="98"/>
      <c r="F78" s="98"/>
      <c r="G78" s="98"/>
      <c r="H78" s="98"/>
      <c r="I78" s="98"/>
      <c r="J78" s="98"/>
      <c r="K78" s="98"/>
      <c r="L78" s="98"/>
      <c r="M78" s="98"/>
      <c r="N78" s="98"/>
      <c r="O78" s="190"/>
      <c r="P78" s="10"/>
    </row>
    <row r="79" spans="2:18" s="10" customFormat="1">
      <c r="B79" s="132" t="str">
        <f>Backup!H20</f>
        <v>HT Category</v>
      </c>
      <c r="C79" s="444"/>
      <c r="D79" s="444"/>
      <c r="E79" s="444"/>
      <c r="F79" s="444"/>
      <c r="G79" s="444"/>
      <c r="H79" s="444"/>
      <c r="I79" s="64"/>
      <c r="J79" s="64"/>
      <c r="K79" s="64"/>
      <c r="L79" s="64"/>
      <c r="M79" s="64"/>
      <c r="N79" s="64"/>
      <c r="O79" s="99"/>
    </row>
    <row r="80" spans="2:18" s="10" customFormat="1">
      <c r="B80" s="148" t="str">
        <f>Backup!H21</f>
        <v>HT I</v>
      </c>
      <c r="C80" s="444">
        <f>'F1'!C77/(1-'F1.3'!$J$18)</f>
        <v>6.7607964895403869</v>
      </c>
      <c r="D80" s="444">
        <f>'F1'!D77/(1-'F1.3'!$J$18)</f>
        <v>7.3269724886917444</v>
      </c>
      <c r="E80" s="444">
        <f>'F1'!E77/(1-'F1.3'!$J$18)</f>
        <v>6.9155359396084677</v>
      </c>
      <c r="F80" s="444">
        <f>'F1'!F77/(1-'F1.3'!$J$18)</f>
        <v>6.2552523217886318</v>
      </c>
      <c r="G80" s="444">
        <f>'F1'!G77/(1-'F1.3'!$J$18)</f>
        <v>6.5078061532495459</v>
      </c>
      <c r="H80" s="444">
        <f>'F1'!H77/(1-'F1.3'!$J$18)</f>
        <v>6.1172311075162282</v>
      </c>
      <c r="I80" s="444">
        <f>'F1'!I77/(1-'F1.3'!$J$18)</f>
        <v>6.1532755190499024</v>
      </c>
      <c r="J80" s="444">
        <f>'F1'!J77/(1-'F1.3'!$J$18)</f>
        <v>5.7834692319913641</v>
      </c>
      <c r="K80" s="444">
        <f>'F1'!K77/(1-'F1.3'!$J$18)</f>
        <v>5.9090152793576225</v>
      </c>
      <c r="L80" s="444">
        <f>'F1'!L77/(1-'F1.3'!$J$18)</f>
        <v>5.6943415991423896</v>
      </c>
      <c r="M80" s="444">
        <f>'F1'!M77/(1-'F1.3'!$J$18)</f>
        <v>5.5080272244089254</v>
      </c>
      <c r="N80" s="444">
        <f>'F1'!N77/(1-'F1.3'!$J$18)</f>
        <v>6.5476262710764397</v>
      </c>
      <c r="O80" s="445">
        <f>SUM(C80:N80)</f>
        <v>75.479349625421648</v>
      </c>
    </row>
    <row r="81" spans="2:18" s="10" customFormat="1">
      <c r="B81" s="148" t="str">
        <f>Backup!H22</f>
        <v>HT II</v>
      </c>
      <c r="C81" s="444">
        <f>'F1'!C78/(1-'F1.3'!$J$18)</f>
        <v>0</v>
      </c>
      <c r="D81" s="444">
        <f>'F1'!D78/(1-'F1.3'!$J$18)</f>
        <v>0</v>
      </c>
      <c r="E81" s="444">
        <f>'F1'!E78/(1-'F1.3'!$J$18)</f>
        <v>0</v>
      </c>
      <c r="F81" s="444">
        <f>'F1'!F78/(1-'F1.3'!$J$18)</f>
        <v>0</v>
      </c>
      <c r="G81" s="444">
        <f>'F1'!G78/(1-'F1.3'!$J$18)</f>
        <v>0</v>
      </c>
      <c r="H81" s="444">
        <f>'F1'!H78/(1-'F1.3'!$J$18)</f>
        <v>0</v>
      </c>
      <c r="I81" s="444">
        <f>'F1'!I78/(1-'F1.3'!$J$18)</f>
        <v>0</v>
      </c>
      <c r="J81" s="444">
        <f>'F1'!J78/(1-'F1.3'!$J$18)</f>
        <v>0</v>
      </c>
      <c r="K81" s="444">
        <f>'F1'!K78/(1-'F1.3'!$J$18)</f>
        <v>0</v>
      </c>
      <c r="L81" s="444">
        <f>'F1'!L78/(1-'F1.3'!$J$18)</f>
        <v>0</v>
      </c>
      <c r="M81" s="444">
        <f>'F1'!M78/(1-'F1.3'!$J$18)</f>
        <v>0</v>
      </c>
      <c r="N81" s="444">
        <f>'F1'!N78/(1-'F1.3'!$J$18)</f>
        <v>0</v>
      </c>
      <c r="O81" s="445">
        <f t="shared" ref="O81:O87" si="16">SUM(C81:N81)</f>
        <v>0</v>
      </c>
    </row>
    <row r="82" spans="2:18" s="10" customFormat="1">
      <c r="B82" s="132" t="str">
        <f>Backup!H23</f>
        <v>LT Category</v>
      </c>
      <c r="C82" s="444"/>
      <c r="D82" s="444"/>
      <c r="E82" s="444"/>
      <c r="F82" s="444"/>
      <c r="G82" s="444"/>
      <c r="H82" s="444"/>
      <c r="I82" s="444"/>
      <c r="J82" s="444"/>
      <c r="K82" s="444"/>
      <c r="L82" s="444"/>
      <c r="M82" s="444"/>
      <c r="N82" s="444"/>
      <c r="O82" s="445"/>
    </row>
    <row r="83" spans="2:18" s="10" customFormat="1">
      <c r="B83" s="148" t="str">
        <f>Backup!H24</f>
        <v>LT I (G-P)</v>
      </c>
      <c r="C83" s="444">
        <f>'F1'!C80/(1-'F1.3'!$J$18)</f>
        <v>0</v>
      </c>
      <c r="D83" s="444">
        <f>'F1'!D80/(1-'F1.3'!$J$18)</f>
        <v>0</v>
      </c>
      <c r="E83" s="444">
        <f>'F1'!E80/(1-'F1.3'!$J$18)</f>
        <v>0</v>
      </c>
      <c r="F83" s="444">
        <f>'F1'!F80/(1-'F1.3'!$J$18)</f>
        <v>0</v>
      </c>
      <c r="G83" s="444">
        <f>'F1'!G80/(1-'F1.3'!$J$18)</f>
        <v>0</v>
      </c>
      <c r="H83" s="444">
        <f>'F1'!H80/(1-'F1.3'!$J$18)</f>
        <v>0</v>
      </c>
      <c r="I83" s="444">
        <f>'F1'!I80/(1-'F1.3'!$J$18)</f>
        <v>0</v>
      </c>
      <c r="J83" s="444">
        <f>'F1'!J80/(1-'F1.3'!$J$18)</f>
        <v>0</v>
      </c>
      <c r="K83" s="444">
        <f>'F1'!K80/(1-'F1.3'!$J$18)</f>
        <v>0</v>
      </c>
      <c r="L83" s="444">
        <f>'F1'!L80/(1-'F1.3'!$J$18)</f>
        <v>0</v>
      </c>
      <c r="M83" s="444">
        <f>'F1'!M80/(1-'F1.3'!$J$18)</f>
        <v>0</v>
      </c>
      <c r="N83" s="444">
        <f>'F1'!N80/(1-'F1.3'!$J$18)</f>
        <v>0</v>
      </c>
      <c r="O83" s="445">
        <f t="shared" si="16"/>
        <v>0</v>
      </c>
    </row>
    <row r="84" spans="2:18" s="10" customFormat="1">
      <c r="B84" s="148" t="str">
        <f>Backup!H25</f>
        <v>LT II (A)</v>
      </c>
      <c r="C84" s="444">
        <f>'F1'!C81/(1-'F1.3'!$J$18)</f>
        <v>1.035464055567396E-2</v>
      </c>
      <c r="D84" s="444">
        <f>'F1'!D81/(1-'F1.3'!$J$18)</f>
        <v>1.0480148295456994E-2</v>
      </c>
      <c r="E84" s="444">
        <f>'F1'!E81/(1-'F1.3'!$J$18)</f>
        <v>1.0347281467317204E-2</v>
      </c>
      <c r="F84" s="444">
        <f>'F1'!F81/(1-'F1.3'!$J$18)</f>
        <v>8.4278699287879521E-3</v>
      </c>
      <c r="G84" s="444">
        <f>'F1'!G81/(1-'F1.3'!$J$18)</f>
        <v>9.5422173629740037E-3</v>
      </c>
      <c r="H84" s="444">
        <f>'F1'!H81/(1-'F1.3'!$J$18)</f>
        <v>9.3732607590572455E-3</v>
      </c>
      <c r="I84" s="444">
        <f>'F1'!I81/(1-'F1.3'!$J$18)</f>
        <v>4.2386332746324029E-2</v>
      </c>
      <c r="J84" s="444">
        <f>'F1'!J81/(1-'F1.3'!$J$18)</f>
        <v>4.1852042769737634E-2</v>
      </c>
      <c r="K84" s="444">
        <f>'F1'!K81/(1-'F1.3'!$J$18)</f>
        <v>4.4109871563248124E-2</v>
      </c>
      <c r="L84" s="444">
        <f>'F1'!L81/(1-'F1.3'!$J$18)</f>
        <v>4.4373387412077719E-2</v>
      </c>
      <c r="M84" s="444">
        <f>'F1'!M81/(1-'F1.3'!$J$18)</f>
        <v>4.0250564010106155E-2</v>
      </c>
      <c r="N84" s="444">
        <f>'F1'!N81/(1-'F1.3'!$J$18)</f>
        <v>4.7223774032451399E-2</v>
      </c>
      <c r="O84" s="445">
        <f t="shared" si="16"/>
        <v>0.31872139090321239</v>
      </c>
    </row>
    <row r="85" spans="2:18" s="10" customFormat="1">
      <c r="B85" s="148" t="str">
        <f>Backup!H26</f>
        <v>LT II (B)</v>
      </c>
      <c r="C85" s="444">
        <f>'F1'!C82/(1-'F1.3'!$J$18)</f>
        <v>2.6667824063440808E-2</v>
      </c>
      <c r="D85" s="444">
        <f>'F1'!D82/(1-'F1.3'!$J$18)</f>
        <v>2.7649304669487066E-2</v>
      </c>
      <c r="E85" s="444">
        <f>'F1'!E82/(1-'F1.3'!$J$18)</f>
        <v>2.6296946172146212E-2</v>
      </c>
      <c r="F85" s="444">
        <f>'F1'!F82/(1-'F1.3'!$J$18)</f>
        <v>2.4782687730956716E-2</v>
      </c>
      <c r="G85" s="444">
        <f>'F1'!G82/(1-'F1.3'!$J$18)</f>
        <v>3.4519164864663172E-2</v>
      </c>
      <c r="H85" s="444">
        <f>'F1'!H82/(1-'F1.3'!$J$18)</f>
        <v>3.594289643812161E-2</v>
      </c>
      <c r="I85" s="444">
        <f>'F1'!I82/(1-'F1.3'!$J$18)</f>
        <v>4.6492804858823469E-2</v>
      </c>
      <c r="J85" s="444">
        <f>'F1'!J82/(1-'F1.3'!$J$18)</f>
        <v>4.5063125529021905E-2</v>
      </c>
      <c r="K85" s="444">
        <f>'F1'!K82/(1-'F1.3'!$J$18)</f>
        <v>4.7582554792200631E-2</v>
      </c>
      <c r="L85" s="444">
        <f>'F1'!L82/(1-'F1.3'!$J$18)</f>
        <v>4.8622404057953213E-2</v>
      </c>
      <c r="M85" s="444">
        <f>'F1'!M82/(1-'F1.3'!$J$18)</f>
        <v>4.5330774564462821E-2</v>
      </c>
      <c r="N85" s="444">
        <f>'F1'!N82/(1-'F1.3'!$J$18)</f>
        <v>5.7911287324481635E-2</v>
      </c>
      <c r="O85" s="445">
        <f t="shared" si="16"/>
        <v>0.46686177506575927</v>
      </c>
    </row>
    <row r="86" spans="2:18" s="10" customFormat="1">
      <c r="B86" s="148" t="str">
        <f>Backup!H27</f>
        <v>LT III (A)</v>
      </c>
      <c r="C86" s="444">
        <f>'F1'!C83/(1-'F1.3'!$J$18)</f>
        <v>2.9215379157462487E-2</v>
      </c>
      <c r="D86" s="444">
        <f>'F1'!D83/(1-'F1.3'!$J$18)</f>
        <v>3.2607112414490678E-2</v>
      </c>
      <c r="E86" s="444">
        <f>'F1'!E83/(1-'F1.3'!$J$18)</f>
        <v>3.0315310843223656E-2</v>
      </c>
      <c r="F86" s="444">
        <f>'F1'!F83/(1-'F1.3'!$J$18)</f>
        <v>3.1181465461870887E-2</v>
      </c>
      <c r="G86" s="444">
        <f>'F1'!G83/(1-'F1.3'!$J$18)</f>
        <v>3.1478651660168389E-2</v>
      </c>
      <c r="H86" s="444">
        <f>'F1'!H83/(1-'F1.3'!$J$18)</f>
        <v>3.0587597112423631E-2</v>
      </c>
      <c r="I86" s="444">
        <f>'F1'!I83/(1-'F1.3'!$J$18)</f>
        <v>7.2058580238482659E-4</v>
      </c>
      <c r="J86" s="444">
        <f>'F1'!J83/(1-'F1.3'!$J$18)</f>
        <v>8.3167779374297983E-4</v>
      </c>
      <c r="K86" s="444">
        <f>'F1'!K83/(1-'F1.3'!$J$18)</f>
        <v>6.9084702066916849E-4</v>
      </c>
      <c r="L86" s="444">
        <f>'F1'!L83/(1-'F1.3'!$J$18)</f>
        <v>6.4225687562866974E-4</v>
      </c>
      <c r="M86" s="444">
        <f>'F1'!M83/(1-'F1.3'!$J$18)</f>
        <v>5.9890882092449016E-4</v>
      </c>
      <c r="N86" s="444">
        <f>'F1'!N83/(1-'F1.3'!$J$18)</f>
        <v>6.4255930391730345E-4</v>
      </c>
      <c r="O86" s="445">
        <f t="shared" si="16"/>
        <v>0.18951235226690713</v>
      </c>
    </row>
    <row r="87" spans="2:18">
      <c r="B87" s="148" t="str">
        <f>Backup!H28</f>
        <v>LT III (B)</v>
      </c>
      <c r="C87" s="444">
        <f>'F1'!C84/(1-'F1.3'!$J$18)</f>
        <v>0.61138802020781657</v>
      </c>
      <c r="D87" s="444">
        <f>'F1'!D84/(1-'F1.3'!$J$18)</f>
        <v>0.63280599160886308</v>
      </c>
      <c r="E87" s="444">
        <f>'F1'!E84/(1-'F1.3'!$J$18)</f>
        <v>0.6158901693312786</v>
      </c>
      <c r="F87" s="444">
        <f>'F1'!F84/(1-'F1.3'!$J$18)</f>
        <v>0.58816051954644444</v>
      </c>
      <c r="G87" s="444">
        <f>'F1'!G84/(1-'F1.3'!$J$18)</f>
        <v>0.61190920495856216</v>
      </c>
      <c r="H87" s="444">
        <f>'F1'!H84/(1-'F1.3'!$J$18)</f>
        <v>0.58262104139296844</v>
      </c>
      <c r="I87" s="444">
        <f>'F1'!I84/(1-'F1.3'!$J$18)</f>
        <v>0.59866587019928763</v>
      </c>
      <c r="J87" s="444">
        <f>'F1'!J84/(1-'F1.3'!$J$18)</f>
        <v>0.56498443169414003</v>
      </c>
      <c r="K87" s="444">
        <f>'F1'!K84/(1-'F1.3'!$J$18)</f>
        <v>0.57882153399343239</v>
      </c>
      <c r="L87" s="444">
        <f>'F1'!L84/(1-'F1.3'!$J$18)</f>
        <v>0.56725062767030277</v>
      </c>
      <c r="M87" s="444">
        <f>'F1'!M84/(1-'F1.3'!$J$18)</f>
        <v>0.53660916807967352</v>
      </c>
      <c r="N87" s="444">
        <f>'F1'!N84/(1-'F1.3'!$J$18)</f>
        <v>0.61054827765971009</v>
      </c>
      <c r="O87" s="445">
        <f t="shared" si="16"/>
        <v>7.0996548563424788</v>
      </c>
      <c r="P87" s="10"/>
    </row>
    <row r="88" spans="2:18">
      <c r="B88" s="132" t="s">
        <v>115</v>
      </c>
      <c r="C88" s="443">
        <f>SUM(C80:C87)</f>
        <v>7.4384223535247802</v>
      </c>
      <c r="D88" s="443">
        <f t="shared" ref="D88:O88" si="17">SUM(D80:D87)</f>
        <v>8.0305150456800423</v>
      </c>
      <c r="E88" s="443">
        <f t="shared" si="17"/>
        <v>7.5983856474224343</v>
      </c>
      <c r="F88" s="443">
        <f t="shared" si="17"/>
        <v>6.9078048644566916</v>
      </c>
      <c r="G88" s="443">
        <f t="shared" si="17"/>
        <v>7.1952553920959135</v>
      </c>
      <c r="H88" s="443">
        <f t="shared" si="17"/>
        <v>6.7757559032187986</v>
      </c>
      <c r="I88" s="443">
        <f t="shared" si="17"/>
        <v>6.8415411126567225</v>
      </c>
      <c r="J88" s="443">
        <f t="shared" si="17"/>
        <v>6.436200509778006</v>
      </c>
      <c r="K88" s="443">
        <f t="shared" si="17"/>
        <v>6.5802200867271727</v>
      </c>
      <c r="L88" s="443">
        <f t="shared" si="17"/>
        <v>6.3552302751583518</v>
      </c>
      <c r="M88" s="443">
        <f t="shared" si="17"/>
        <v>6.1308166398840926</v>
      </c>
      <c r="N88" s="443">
        <f t="shared" si="17"/>
        <v>7.2639521693969993</v>
      </c>
      <c r="O88" s="443">
        <f t="shared" si="17"/>
        <v>83.554100000000005</v>
      </c>
      <c r="P88" s="10"/>
    </row>
    <row r="89" spans="2:18" s="1" customFormat="1">
      <c r="B89" s="181"/>
      <c r="C89" s="155"/>
      <c r="D89" s="155"/>
      <c r="E89" s="326"/>
      <c r="F89" s="327"/>
      <c r="G89" s="326"/>
      <c r="H89" s="326"/>
      <c r="I89" s="326"/>
      <c r="J89" s="326"/>
      <c r="K89" s="326"/>
      <c r="L89" s="326"/>
      <c r="M89" s="326"/>
      <c r="N89" s="326"/>
      <c r="O89" s="328"/>
      <c r="P89" s="10"/>
    </row>
    <row r="90" spans="2:18" s="1" customFormat="1" hidden="1">
      <c r="B90" s="181" t="s">
        <v>450</v>
      </c>
      <c r="C90" s="155"/>
      <c r="D90" s="155"/>
      <c r="E90" s="326"/>
      <c r="F90" s="327"/>
      <c r="G90" s="326"/>
      <c r="H90" s="326"/>
      <c r="I90" s="326"/>
      <c r="J90" s="326"/>
      <c r="K90" s="326"/>
      <c r="L90" s="326"/>
      <c r="M90" s="326"/>
      <c r="N90" s="326"/>
      <c r="O90" s="328"/>
      <c r="P90" s="10"/>
    </row>
    <row r="91" spans="2:18" s="1" customFormat="1" hidden="1">
      <c r="B91" s="39" t="s">
        <v>451</v>
      </c>
      <c r="C91" s="155"/>
      <c r="D91" s="155"/>
      <c r="E91" s="326"/>
      <c r="F91" s="327"/>
      <c r="G91" s="326"/>
      <c r="H91" s="326"/>
      <c r="I91" s="326"/>
      <c r="J91" s="326"/>
      <c r="K91" s="326"/>
      <c r="L91" s="326"/>
      <c r="M91" s="326"/>
      <c r="N91" s="326"/>
      <c r="O91" s="328"/>
      <c r="P91" s="10"/>
    </row>
    <row r="92" spans="2:18" s="1" customFormat="1" hidden="1">
      <c r="B92" s="42" t="s">
        <v>452</v>
      </c>
      <c r="C92" s="155"/>
      <c r="D92" s="155"/>
      <c r="E92" s="326"/>
      <c r="F92" s="327"/>
      <c r="G92" s="326"/>
      <c r="H92" s="326"/>
      <c r="I92" s="326"/>
      <c r="J92" s="326"/>
      <c r="K92" s="326"/>
      <c r="L92" s="326"/>
      <c r="M92" s="326"/>
      <c r="N92" s="326"/>
      <c r="O92" s="328"/>
      <c r="P92" s="10"/>
    </row>
    <row r="93" spans="2:18" s="1" customFormat="1" hidden="1">
      <c r="B93" s="39" t="s">
        <v>578</v>
      </c>
      <c r="C93" s="155"/>
      <c r="D93" s="155"/>
      <c r="E93" s="326"/>
      <c r="F93" s="327"/>
      <c r="G93" s="326"/>
      <c r="H93" s="326"/>
      <c r="I93" s="326"/>
      <c r="J93" s="326"/>
      <c r="K93" s="326"/>
      <c r="L93" s="326"/>
      <c r="M93" s="326"/>
      <c r="N93" s="326"/>
      <c r="O93" s="328"/>
      <c r="P93" s="10"/>
    </row>
    <row r="94" spans="2:18" s="1" customFormat="1">
      <c r="B94" s="39"/>
      <c r="C94" s="155"/>
      <c r="D94" s="155"/>
      <c r="E94" s="326"/>
      <c r="F94" s="327"/>
      <c r="G94" s="326"/>
      <c r="H94" s="326"/>
      <c r="I94" s="326"/>
      <c r="J94" s="326"/>
      <c r="K94" s="326"/>
      <c r="L94" s="326"/>
      <c r="M94" s="326"/>
      <c r="N94" s="326"/>
      <c r="O94" s="328"/>
      <c r="P94" s="10"/>
    </row>
    <row r="95" spans="2:18" s="1" customFormat="1" ht="18">
      <c r="B95" s="46" t="s">
        <v>1313</v>
      </c>
      <c r="C95" s="154"/>
      <c r="D95" s="154"/>
      <c r="E95" s="154"/>
      <c r="F95" s="154"/>
      <c r="G95" s="154"/>
      <c r="H95" s="154"/>
      <c r="I95" s="154"/>
      <c r="J95" s="154"/>
      <c r="K95" s="154"/>
      <c r="L95" s="154"/>
      <c r="M95" s="154"/>
      <c r="N95" s="154"/>
      <c r="O95" s="62"/>
      <c r="P95" s="43"/>
      <c r="Q95" s="43"/>
      <c r="R95" s="59"/>
    </row>
    <row r="96" spans="2:18" s="1" customFormat="1" ht="18">
      <c r="B96" s="46"/>
      <c r="C96" s="52"/>
      <c r="D96" s="52"/>
      <c r="E96" s="155"/>
      <c r="F96" s="155"/>
      <c r="G96" s="155"/>
      <c r="H96" s="155"/>
      <c r="I96" s="155"/>
      <c r="J96" s="155"/>
      <c r="K96" s="155"/>
      <c r="L96" s="155"/>
      <c r="M96" s="155"/>
      <c r="N96" s="155"/>
      <c r="O96" s="52" t="s">
        <v>117</v>
      </c>
      <c r="P96" s="10"/>
      <c r="Q96" s="43"/>
    </row>
    <row r="97" spans="2:18" s="87" customFormat="1" ht="18">
      <c r="B97" s="1365" t="s">
        <v>266</v>
      </c>
      <c r="C97" s="1395" t="s">
        <v>12</v>
      </c>
      <c r="D97" s="1395"/>
      <c r="E97" s="1395"/>
      <c r="F97" s="1395"/>
      <c r="G97" s="1395"/>
      <c r="H97" s="1395"/>
      <c r="I97" s="1396" t="s">
        <v>12</v>
      </c>
      <c r="J97" s="1396"/>
      <c r="K97" s="1396"/>
      <c r="L97" s="1396"/>
      <c r="M97" s="1396"/>
      <c r="N97" s="1396"/>
      <c r="O97" s="1376" t="s">
        <v>1311</v>
      </c>
      <c r="P97" s="54"/>
      <c r="Q97" s="192"/>
      <c r="R97" s="192"/>
    </row>
    <row r="98" spans="2:18" s="74" customFormat="1">
      <c r="B98" s="1365"/>
      <c r="C98" s="414" t="s">
        <v>118</v>
      </c>
      <c r="D98" s="414" t="s">
        <v>119</v>
      </c>
      <c r="E98" s="413" t="s">
        <v>120</v>
      </c>
      <c r="F98" s="413" t="s">
        <v>121</v>
      </c>
      <c r="G98" s="413" t="s">
        <v>122</v>
      </c>
      <c r="H98" s="413" t="s">
        <v>123</v>
      </c>
      <c r="I98" s="413" t="s">
        <v>124</v>
      </c>
      <c r="J98" s="413" t="s">
        <v>125</v>
      </c>
      <c r="K98" s="413" t="s">
        <v>126</v>
      </c>
      <c r="L98" s="413" t="s">
        <v>127</v>
      </c>
      <c r="M98" s="413" t="s">
        <v>128</v>
      </c>
      <c r="N98" s="413" t="s">
        <v>129</v>
      </c>
      <c r="O98" s="1376"/>
      <c r="P98" s="54"/>
    </row>
    <row r="99" spans="2:18" s="39" customFormat="1">
      <c r="B99" s="98"/>
      <c r="C99" s="98"/>
      <c r="D99" s="98"/>
      <c r="E99" s="98"/>
      <c r="F99" s="98"/>
      <c r="G99" s="98"/>
      <c r="H99" s="98"/>
      <c r="I99" s="98"/>
      <c r="J99" s="98"/>
      <c r="K99" s="98"/>
      <c r="L99" s="98"/>
      <c r="M99" s="98"/>
      <c r="N99" s="98"/>
      <c r="O99" s="190"/>
      <c r="P99" s="10"/>
    </row>
    <row r="100" spans="2:18" s="10" customFormat="1">
      <c r="B100" s="446" t="str">
        <f>Backup!A34</f>
        <v>HT Category</v>
      </c>
      <c r="C100" s="447"/>
      <c r="D100" s="447"/>
      <c r="E100" s="447"/>
      <c r="F100" s="447"/>
      <c r="G100" s="447"/>
      <c r="H100" s="447"/>
      <c r="I100" s="447"/>
      <c r="J100" s="447"/>
      <c r="K100" s="447"/>
      <c r="L100" s="447"/>
      <c r="M100" s="447"/>
      <c r="N100" s="447"/>
      <c r="O100" s="99"/>
    </row>
    <row r="101" spans="2:18" s="10" customFormat="1">
      <c r="B101" s="447" t="str">
        <f>Backup!A35</f>
        <v>HT I</v>
      </c>
      <c r="C101" s="1231">
        <f>'F1'!C98/(1-'F1.3'!$J$24)</f>
        <v>6.656138566288452</v>
      </c>
      <c r="D101" s="1231">
        <f>'F1'!D98/(1-'F1.3'!$J$24)</f>
        <v>7.2726900288018355</v>
      </c>
      <c r="E101" s="1231">
        <f>'F1'!E98/(1-'F1.3'!$J$24)</f>
        <v>6.5909480316941442</v>
      </c>
      <c r="F101" s="1231">
        <f>'F1'!F98/(1-'F1.3'!$J$24)</f>
        <v>6.8031016079203548</v>
      </c>
      <c r="G101" s="1231">
        <f>'F1'!G98/(1-'F1.3'!$J$24)</f>
        <v>6.414942166389797</v>
      </c>
      <c r="H101" s="1231">
        <f>'F1'!H98/(1-'F1.3'!$J$24)</f>
        <v>6.3630406229179544</v>
      </c>
      <c r="I101" s="1231">
        <f>'F1'!I98/(1-'F1.3'!$J$24)</f>
        <v>6.5015827957980301</v>
      </c>
      <c r="J101" s="1231">
        <f>'F1'!J98/(1-'F1.3'!$J$24)</f>
        <v>5.9263918043709145</v>
      </c>
      <c r="K101" s="1231">
        <f>'F1'!K98/(1-'F1.3'!$J$24)</f>
        <v>5.6783944847293775</v>
      </c>
      <c r="L101" s="1231">
        <f>'F1'!L98/(1-'F1.3'!$J$24)</f>
        <v>5.7583849671220744</v>
      </c>
      <c r="M101" s="1231">
        <f>'F1'!M98/(1-'F1.3'!$J$24)</f>
        <v>5.4687992310400118</v>
      </c>
      <c r="N101" s="1231">
        <f>'F1'!N98/(1-'F1.3'!$J$24)</f>
        <v>6.5229028365197648</v>
      </c>
      <c r="O101" s="1232">
        <f>SUM(C101:N101)</f>
        <v>75.957317143592718</v>
      </c>
    </row>
    <row r="102" spans="2:18" s="10" customFormat="1">
      <c r="B102" s="447" t="str">
        <f>Backup!A36</f>
        <v>HT II</v>
      </c>
      <c r="C102" s="1231">
        <f>'F1'!C99/(1-'F1.3'!$J$24)</f>
        <v>0</v>
      </c>
      <c r="D102" s="1231">
        <f>'F1'!D99/(1-'F1.3'!$J$24)</f>
        <v>0</v>
      </c>
      <c r="E102" s="1231">
        <f>'F1'!E99/(1-'F1.3'!$J$24)</f>
        <v>0</v>
      </c>
      <c r="F102" s="1231">
        <f>'F1'!F99/(1-'F1.3'!$J$24)</f>
        <v>0</v>
      </c>
      <c r="G102" s="1231">
        <f>'F1'!G99/(1-'F1.3'!$J$24)</f>
        <v>0</v>
      </c>
      <c r="H102" s="1231">
        <f>'F1'!H99/(1-'F1.3'!$J$24)</f>
        <v>0</v>
      </c>
      <c r="I102" s="1231">
        <f>'F1'!I99/(1-'F1.3'!$J$24)</f>
        <v>0</v>
      </c>
      <c r="J102" s="1231">
        <f>'F1'!J99/(1-'F1.3'!$J$24)</f>
        <v>0</v>
      </c>
      <c r="K102" s="1231">
        <f>'F1'!K99/(1-'F1.3'!$J$24)</f>
        <v>0</v>
      </c>
      <c r="L102" s="1231">
        <f>'F1'!L99/(1-'F1.3'!$J$24)</f>
        <v>0</v>
      </c>
      <c r="M102" s="1231">
        <f>'F1'!M99/(1-'F1.3'!$J$24)</f>
        <v>0</v>
      </c>
      <c r="N102" s="1231">
        <f>'F1'!N99/(1-'F1.3'!$J$24)</f>
        <v>0</v>
      </c>
      <c r="O102" s="1232">
        <f t="shared" ref="O102" si="18">SUM(C102:N102)</f>
        <v>0</v>
      </c>
    </row>
    <row r="103" spans="2:18" s="10" customFormat="1">
      <c r="B103" s="446" t="str">
        <f>Backup!A37</f>
        <v>LT Category</v>
      </c>
      <c r="C103" s="1231"/>
      <c r="D103" s="1231"/>
      <c r="E103" s="1231"/>
      <c r="F103" s="1231"/>
      <c r="G103" s="1231"/>
      <c r="H103" s="1231"/>
      <c r="I103" s="1231"/>
      <c r="J103" s="1231"/>
      <c r="K103" s="1231"/>
      <c r="L103" s="1231"/>
      <c r="M103" s="1231"/>
      <c r="N103" s="1231"/>
      <c r="O103" s="1232"/>
    </row>
    <row r="104" spans="2:18" s="10" customFormat="1">
      <c r="B104" s="447" t="str">
        <f>Backup!A38</f>
        <v>LT I (G-P)</v>
      </c>
      <c r="C104" s="1231">
        <f>'F1'!C101/(1-'F1.3'!$J$24)</f>
        <v>0</v>
      </c>
      <c r="D104" s="1231">
        <f>'F1'!D101/(1-'F1.3'!$J$24)</f>
        <v>0</v>
      </c>
      <c r="E104" s="1231">
        <f>'F1'!E101/(1-'F1.3'!$J$24)</f>
        <v>0</v>
      </c>
      <c r="F104" s="1231">
        <f>'F1'!F101/(1-'F1.3'!$J$24)</f>
        <v>0</v>
      </c>
      <c r="G104" s="1231">
        <f>'F1'!G101/(1-'F1.3'!$J$24)</f>
        <v>0</v>
      </c>
      <c r="H104" s="1231">
        <f>'F1'!H101/(1-'F1.3'!$J$24)</f>
        <v>0</v>
      </c>
      <c r="I104" s="1231">
        <f>'F1'!I101/(1-'F1.3'!$J$24)</f>
        <v>0</v>
      </c>
      <c r="J104" s="1231">
        <f>'F1'!J101/(1-'F1.3'!$J$24)</f>
        <v>0</v>
      </c>
      <c r="K104" s="1231">
        <f>'F1'!K101/(1-'F1.3'!$J$24)</f>
        <v>0</v>
      </c>
      <c r="L104" s="1231">
        <f>'F1'!L101/(1-'F1.3'!$J$24)</f>
        <v>0</v>
      </c>
      <c r="M104" s="1231">
        <f>'F1'!M101/(1-'F1.3'!$J$24)</f>
        <v>0</v>
      </c>
      <c r="N104" s="1231">
        <f>'F1'!N101/(1-'F1.3'!$J$24)</f>
        <v>0</v>
      </c>
      <c r="O104" s="1232">
        <f t="shared" ref="O104:O108" si="19">SUM(C104:N104)</f>
        <v>0</v>
      </c>
    </row>
    <row r="105" spans="2:18" s="10" customFormat="1">
      <c r="B105" s="447" t="str">
        <f>Backup!A39</f>
        <v>LT II (A)</v>
      </c>
      <c r="C105" s="1231">
        <f>'F1'!C102/(1-'F1.3'!$J$24)</f>
        <v>4.8611993391133271E-2</v>
      </c>
      <c r="D105" s="1231">
        <f>'F1'!D102/(1-'F1.3'!$J$24)</f>
        <v>5.1748954205612978E-2</v>
      </c>
      <c r="E105" s="1231">
        <f>'F1'!E102/(1-'F1.3'!$J$24)</f>
        <v>4.6929575628355279E-2</v>
      </c>
      <c r="F105" s="1231">
        <f>'F1'!F102/(1-'F1.3'!$J$24)</f>
        <v>4.6404898647449351E-2</v>
      </c>
      <c r="G105" s="1231">
        <f>'F1'!G102/(1-'F1.3'!$J$24)</f>
        <v>4.9758229426741962E-2</v>
      </c>
      <c r="H105" s="1231">
        <f>'F1'!H102/(1-'F1.3'!$J$24)</f>
        <v>5.0014048560978998E-2</v>
      </c>
      <c r="I105" s="1231">
        <f>'F1'!I102/(1-'F1.3'!$J$24)</f>
        <v>5.6450802717095891E-2</v>
      </c>
      <c r="J105" s="1231">
        <f>'F1'!J102/(1-'F1.3'!$J$24)</f>
        <v>5.5084321433722411E-2</v>
      </c>
      <c r="K105" s="1231">
        <f>'F1'!K102/(1-'F1.3'!$J$24)</f>
        <v>5.7117381660466114E-2</v>
      </c>
      <c r="L105" s="1231">
        <f>'F1'!L102/(1-'F1.3'!$J$24)</f>
        <v>5.7386501896084859E-2</v>
      </c>
      <c r="M105" s="1231">
        <f>'F1'!M102/(1-'F1.3'!$J$24)</f>
        <v>5.4456565963049756E-2</v>
      </c>
      <c r="N105" s="1231">
        <f>'F1'!N102/(1-'F1.3'!$J$24)</f>
        <v>6.3610085214200668E-2</v>
      </c>
      <c r="O105" s="1232">
        <f t="shared" si="19"/>
        <v>0.63757335874489141</v>
      </c>
    </row>
    <row r="106" spans="2:18" s="10" customFormat="1">
      <c r="B106" s="447" t="str">
        <f>Backup!A40</f>
        <v>LT II (B)</v>
      </c>
      <c r="C106" s="1231">
        <f>'F1'!C103/(1-'F1.3'!$J$24)</f>
        <v>5.1736339352254003E-2</v>
      </c>
      <c r="D106" s="1231">
        <f>'F1'!D103/(1-'F1.3'!$J$24)</f>
        <v>6.0781592885936972E-2</v>
      </c>
      <c r="E106" s="1231">
        <f>'F1'!E103/(1-'F1.3'!$J$24)</f>
        <v>2.8460118366086133E-2</v>
      </c>
      <c r="F106" s="1231">
        <f>'F1'!F103/(1-'F1.3'!$J$24)</f>
        <v>3.3081595123848437E-2</v>
      </c>
      <c r="G106" s="1231">
        <f>'F1'!G103/(1-'F1.3'!$J$24)</f>
        <v>3.3217986918365534E-2</v>
      </c>
      <c r="H106" s="1231">
        <f>'F1'!H103/(1-'F1.3'!$J$24)</f>
        <v>2.5212116566399503E-2</v>
      </c>
      <c r="I106" s="1231">
        <f>'F1'!I103/(1-'F1.3'!$J$24)</f>
        <v>2.6997511900117371E-2</v>
      </c>
      <c r="J106" s="1231">
        <f>'F1'!J103/(1-'F1.3'!$J$24)</f>
        <v>2.1545967699452703E-2</v>
      </c>
      <c r="K106" s="1231">
        <f>'F1'!K103/(1-'F1.3'!$J$24)</f>
        <v>2.1635654260893582E-2</v>
      </c>
      <c r="L106" s="1231">
        <f>'F1'!L103/(1-'F1.3'!$J$24)</f>
        <v>2.3252111478428237E-2</v>
      </c>
      <c r="M106" s="1231">
        <f>'F1'!M103/(1-'F1.3'!$J$24)</f>
        <v>2.3470863127555312E-2</v>
      </c>
      <c r="N106" s="1231">
        <f>'F1'!N103/(1-'F1.3'!$J$24)</f>
        <v>2.8835758423467944E-2</v>
      </c>
      <c r="O106" s="1232">
        <f t="shared" si="19"/>
        <v>0.37822761610280575</v>
      </c>
    </row>
    <row r="107" spans="2:18" s="10" customFormat="1">
      <c r="B107" s="447" t="str">
        <f>Backup!A41</f>
        <v>LT III (A)</v>
      </c>
      <c r="C107" s="1231">
        <f>'F1'!C104/(1-'F1.3'!$J$24)</f>
        <v>5.7826487797480071E-4</v>
      </c>
      <c r="D107" s="1231">
        <f>'F1'!D104/(1-'F1.3'!$J$24)</f>
        <v>5.963293479848337E-4</v>
      </c>
      <c r="E107" s="1231">
        <f>'F1'!E104/(1-'F1.3'!$J$24)</f>
        <v>6.1903608403096459E-4</v>
      </c>
      <c r="F107" s="1231">
        <f>'F1'!F104/(1-'F1.3'!$J$24)</f>
        <v>6.7373408819542226E-4</v>
      </c>
      <c r="G107" s="1231">
        <f>'F1'!G104/(1-'F1.3'!$J$24)</f>
        <v>6.0117345167467497E-4</v>
      </c>
      <c r="H107" s="1231">
        <f>'F1'!H104/(1-'F1.3'!$J$24)</f>
        <v>5.2477789973280338E-4</v>
      </c>
      <c r="I107" s="1231">
        <f>'F1'!I104/(1-'F1.3'!$J$24)</f>
        <v>5.0065830011046877E-4</v>
      </c>
      <c r="J107" s="1231">
        <f>'F1'!J104/(1-'F1.3'!$J$24)</f>
        <v>4.4596029594601115E-4</v>
      </c>
      <c r="K107" s="1231">
        <f>'F1'!K104/(1-'F1.3'!$J$24)</f>
        <v>4.7462124277757197E-4</v>
      </c>
      <c r="L107" s="1231">
        <f>'F1'!L104/(1-'F1.3'!$J$24)</f>
        <v>4.2648296235977444E-4</v>
      </c>
      <c r="M107" s="1231">
        <f>'F1'!M104/(1-'F1.3'!$J$24)</f>
        <v>4.1406994665455621E-4</v>
      </c>
      <c r="N107" s="1231">
        <f>'F1'!N104/(1-'F1.3'!$J$24)</f>
        <v>4.4141894873678494E-4</v>
      </c>
      <c r="O107" s="1232">
        <f t="shared" si="19"/>
        <v>6.2965274461786675E-3</v>
      </c>
    </row>
    <row r="108" spans="2:18">
      <c r="B108" s="447" t="str">
        <f>Backup!A42</f>
        <v>LT III (B)</v>
      </c>
      <c r="C108" s="1231">
        <f>'F1'!C105/(1-'F1.3'!$J$24)</f>
        <v>0.59764532948724047</v>
      </c>
      <c r="D108" s="1231">
        <f>'F1'!D105/(1-'F1.3'!$J$24)</f>
        <v>0.63829341457462108</v>
      </c>
      <c r="E108" s="1231">
        <f>'F1'!E105/(1-'F1.3'!$J$24)</f>
        <v>0.63841249879032969</v>
      </c>
      <c r="F108" s="1231">
        <f>'F1'!F105/(1-'F1.3'!$J$24)</f>
        <v>0.62839557860776063</v>
      </c>
      <c r="G108" s="1231">
        <f>'F1'!G105/(1-'F1.3'!$J$24)</f>
        <v>0.62345027351833249</v>
      </c>
      <c r="H108" s="1231">
        <f>'F1'!H105/(1-'F1.3'!$J$24)</f>
        <v>0.61338462972614982</v>
      </c>
      <c r="I108" s="1231">
        <f>'F1'!I105/(1-'F1.3'!$J$24)</f>
        <v>0.59801065564051614</v>
      </c>
      <c r="J108" s="1231">
        <f>'F1'!J105/(1-'F1.3'!$J$24)</f>
        <v>0.57920745981778232</v>
      </c>
      <c r="K108" s="1231">
        <f>'F1'!K105/(1-'F1.3'!$J$24)</f>
        <v>0.5651535039876302</v>
      </c>
      <c r="L108" s="1231">
        <f>'F1'!L105/(1-'F1.3'!$J$24)</f>
        <v>0.56986641320253839</v>
      </c>
      <c r="M108" s="1231">
        <f>'F1'!M105/(1-'F1.3'!$J$24)</f>
        <v>0.53268266960400945</v>
      </c>
      <c r="N108" s="1231">
        <f>'F1'!N105/(1-'F1.3'!$J$24)</f>
        <v>0.60968292715649608</v>
      </c>
      <c r="O108" s="1232">
        <f t="shared" si="19"/>
        <v>7.1941853541134053</v>
      </c>
      <c r="P108" s="10"/>
    </row>
    <row r="109" spans="2:18">
      <c r="B109" s="132" t="s">
        <v>115</v>
      </c>
      <c r="C109" s="1232">
        <f t="shared" ref="C109:N109" si="20">SUM(C101:C108)</f>
        <v>7.3547104933970537</v>
      </c>
      <c r="D109" s="1232">
        <f t="shared" si="20"/>
        <v>8.0241103198159927</v>
      </c>
      <c r="E109" s="1232">
        <f t="shared" si="20"/>
        <v>7.3053692605629461</v>
      </c>
      <c r="F109" s="1232">
        <f t="shared" si="20"/>
        <v>7.5116574143876083</v>
      </c>
      <c r="G109" s="1232">
        <f t="shared" si="20"/>
        <v>7.1219698297049119</v>
      </c>
      <c r="H109" s="1232">
        <f t="shared" si="20"/>
        <v>7.0521761956712155</v>
      </c>
      <c r="I109" s="1232">
        <f t="shared" si="20"/>
        <v>7.1835424243558705</v>
      </c>
      <c r="J109" s="1232">
        <f t="shared" si="20"/>
        <v>6.5826755136178177</v>
      </c>
      <c r="K109" s="1232">
        <f t="shared" si="20"/>
        <v>6.3227756458811442</v>
      </c>
      <c r="L109" s="1232">
        <f t="shared" si="20"/>
        <v>6.4093164766614859</v>
      </c>
      <c r="M109" s="1232">
        <f t="shared" si="20"/>
        <v>6.0798233996812812</v>
      </c>
      <c r="N109" s="1232">
        <f t="shared" si="20"/>
        <v>7.2254730262626659</v>
      </c>
      <c r="O109" s="1232">
        <f>SUM(O101:O108)</f>
        <v>84.173599999999993</v>
      </c>
      <c r="P109" s="10"/>
    </row>
    <row r="110" spans="2:18">
      <c r="B110" s="181" t="s">
        <v>450</v>
      </c>
    </row>
    <row r="111" spans="2:18">
      <c r="B111" s="39" t="s">
        <v>451</v>
      </c>
    </row>
    <row r="112" spans="2:18" s="1" customFormat="1" ht="18">
      <c r="B112" s="42" t="s">
        <v>452</v>
      </c>
      <c r="C112" s="44"/>
      <c r="D112" s="44"/>
      <c r="E112" s="44"/>
      <c r="F112" s="44"/>
      <c r="G112" s="16"/>
      <c r="H112" s="16"/>
      <c r="I112" s="16"/>
      <c r="J112" s="16"/>
      <c r="K112" s="16"/>
      <c r="L112" s="16"/>
      <c r="M112" s="16"/>
      <c r="N112" s="16"/>
      <c r="O112" s="16"/>
      <c r="P112" s="43"/>
      <c r="Q112" s="43"/>
    </row>
    <row r="113" spans="2:18" s="1" customFormat="1" ht="18">
      <c r="B113" s="39" t="s">
        <v>578</v>
      </c>
      <c r="C113" s="44"/>
      <c r="D113" s="44"/>
      <c r="E113" s="44"/>
      <c r="F113" s="44"/>
      <c r="G113" s="16"/>
      <c r="H113" s="16"/>
      <c r="I113" s="16"/>
      <c r="J113" s="16"/>
      <c r="K113" s="16"/>
      <c r="L113" s="16"/>
      <c r="M113" s="16"/>
      <c r="N113" s="16"/>
      <c r="O113" s="16"/>
      <c r="P113" s="43"/>
      <c r="Q113" s="43"/>
    </row>
    <row r="115" spans="2:18" s="1" customFormat="1">
      <c r="B115" s="181"/>
      <c r="C115" s="155"/>
      <c r="D115" s="155"/>
      <c r="E115" s="326"/>
      <c r="F115" s="327"/>
      <c r="G115" s="326"/>
      <c r="H115" s="326"/>
      <c r="I115" s="326"/>
      <c r="J115" s="326"/>
      <c r="K115" s="326"/>
      <c r="L115" s="326"/>
      <c r="M115" s="326"/>
      <c r="N115" s="326"/>
      <c r="O115" s="328"/>
      <c r="P115" s="10"/>
    </row>
    <row r="116" spans="2:18" s="1" customFormat="1" ht="18">
      <c r="B116" s="46" t="s">
        <v>684</v>
      </c>
      <c r="C116" s="154"/>
      <c r="D116" s="154"/>
      <c r="E116" s="154"/>
      <c r="F116" s="154"/>
      <c r="G116" s="154"/>
      <c r="H116" s="154"/>
      <c r="I116" s="154"/>
      <c r="J116" s="154"/>
      <c r="K116" s="154"/>
      <c r="L116" s="154"/>
      <c r="M116" s="154"/>
      <c r="N116" s="154"/>
      <c r="O116" s="62"/>
      <c r="P116" s="43"/>
      <c r="Q116" s="43"/>
      <c r="R116" s="59"/>
    </row>
    <row r="117" spans="2:18" s="1" customFormat="1" ht="18">
      <c r="B117" s="46"/>
      <c r="C117" s="52"/>
      <c r="D117" s="52"/>
      <c r="E117" s="155"/>
      <c r="F117" s="155"/>
      <c r="G117" s="155"/>
      <c r="H117" s="155"/>
      <c r="I117" s="155"/>
      <c r="J117" s="155"/>
      <c r="K117" s="155"/>
      <c r="L117" s="155"/>
      <c r="M117" s="155"/>
      <c r="N117" s="155"/>
      <c r="O117" s="52" t="s">
        <v>117</v>
      </c>
      <c r="P117" s="10"/>
      <c r="Q117" s="43"/>
    </row>
    <row r="118" spans="2:18" s="74" customFormat="1" ht="28.5">
      <c r="B118" s="269" t="s">
        <v>266</v>
      </c>
      <c r="C118" s="414" t="s">
        <v>118</v>
      </c>
      <c r="D118" s="414" t="s">
        <v>119</v>
      </c>
      <c r="E118" s="413" t="s">
        <v>120</v>
      </c>
      <c r="F118" s="413" t="s">
        <v>121</v>
      </c>
      <c r="G118" s="413" t="s">
        <v>122</v>
      </c>
      <c r="H118" s="413" t="s">
        <v>123</v>
      </c>
      <c r="I118" s="413" t="s">
        <v>124</v>
      </c>
      <c r="J118" s="413" t="s">
        <v>125</v>
      </c>
      <c r="K118" s="413" t="s">
        <v>126</v>
      </c>
      <c r="L118" s="413" t="s">
        <v>127</v>
      </c>
      <c r="M118" s="413" t="s">
        <v>128</v>
      </c>
      <c r="N118" s="413" t="s">
        <v>129</v>
      </c>
      <c r="O118" s="329" t="s">
        <v>283</v>
      </c>
      <c r="P118" s="54"/>
    </row>
    <row r="119" spans="2:18" s="39" customFormat="1">
      <c r="B119" s="98"/>
      <c r="C119" s="98"/>
      <c r="D119" s="98"/>
      <c r="E119" s="98"/>
      <c r="F119" s="98"/>
      <c r="G119" s="98"/>
      <c r="H119" s="98"/>
      <c r="I119" s="98"/>
      <c r="J119" s="98"/>
      <c r="K119" s="98"/>
      <c r="L119" s="98"/>
      <c r="M119" s="98"/>
      <c r="N119" s="98"/>
      <c r="O119" s="190"/>
      <c r="P119" s="10"/>
    </row>
    <row r="120" spans="2:18" s="10" customFormat="1">
      <c r="B120" s="450" t="str">
        <f>Backup!A48</f>
        <v>HT Category</v>
      </c>
      <c r="C120" s="451"/>
      <c r="D120" s="451"/>
      <c r="E120" s="451"/>
      <c r="F120" s="451"/>
      <c r="G120" s="451"/>
      <c r="H120" s="451"/>
      <c r="I120" s="451"/>
      <c r="J120" s="451"/>
      <c r="K120" s="451"/>
      <c r="L120" s="451"/>
      <c r="M120" s="451"/>
      <c r="N120" s="451"/>
      <c r="O120" s="99"/>
    </row>
    <row r="121" spans="2:18" s="10" customFormat="1">
      <c r="B121" s="451" t="str">
        <f>Backup!A49</f>
        <v>HT I</v>
      </c>
      <c r="C121" s="1231">
        <f>'F1'!C119/(1-'F1.3'!$J$31)</f>
        <v>7.0254564325664148</v>
      </c>
      <c r="D121" s="1231">
        <f>'F1'!D119/(1-'F1.3'!$J$31)</f>
        <v>7.6481734097049321</v>
      </c>
      <c r="E121" s="1231">
        <f>'F1'!E119/(1-'F1.3'!$J$31)</f>
        <v>6.9596139926261644</v>
      </c>
      <c r="F121" s="1231">
        <f>'F1'!F119/(1-'F1.3'!$J$31)</f>
        <v>7.1738891046146369</v>
      </c>
      <c r="G121" s="1231">
        <f>'F1'!G119/(1-'F1.3'!$J$31)</f>
        <v>6.7818480686687739</v>
      </c>
      <c r="H121" s="1231">
        <f>'F1'!H119/(1-'F1.3'!$J$31)</f>
        <v>6.7294275097622123</v>
      </c>
      <c r="I121" s="1231">
        <f>'F1'!I119/(1-'F1.3'!$J$31)</f>
        <v>6.8693551043710892</v>
      </c>
      <c r="J121" s="1231">
        <f>'F1'!J119/(1-'F1.3'!$J$31)</f>
        <v>6.2884122030297016</v>
      </c>
      <c r="K121" s="1231">
        <f>'F1'!K119/(1-'F1.3'!$J$31)</f>
        <v>6.0379349101917503</v>
      </c>
      <c r="L121" s="1231">
        <f>'F1'!L119/(1-'F1.3'!$J$31)</f>
        <v>6.118725297408373</v>
      </c>
      <c r="M121" s="1231">
        <f>'F1'!M119/(1-'F1.3'!$J$31)</f>
        <v>5.8262437039654902</v>
      </c>
      <c r="N121" s="1231">
        <f>'F1'!N119/(1-'F1.3'!$J$31)</f>
        <v>6.8908883455000414</v>
      </c>
      <c r="O121" s="1232">
        <f>SUM(C121:N121)</f>
        <v>80.349968082409575</v>
      </c>
    </row>
    <row r="122" spans="2:18" s="10" customFormat="1">
      <c r="B122" s="451" t="str">
        <f>Backup!A50</f>
        <v>HT II</v>
      </c>
      <c r="C122" s="1231">
        <f>'F1'!C120/(1-'F1.3'!$J$31)</f>
        <v>0</v>
      </c>
      <c r="D122" s="1231">
        <f>'F1'!D120/(1-'F1.3'!$J$31)</f>
        <v>0</v>
      </c>
      <c r="E122" s="1231">
        <f>'F1'!E120/(1-'F1.3'!$J$31)</f>
        <v>0.50459413435846479</v>
      </c>
      <c r="F122" s="1231">
        <f>'F1'!F120/(1-'F1.3'!$J$31)</f>
        <v>0.50459413435846479</v>
      </c>
      <c r="G122" s="1231">
        <f>'F1'!G120/(1-'F1.3'!$J$31)</f>
        <v>0.50459413435846479</v>
      </c>
      <c r="H122" s="1231">
        <f>'F1'!H120/(1-'F1.3'!$J$31)</f>
        <v>0.50459413435846479</v>
      </c>
      <c r="I122" s="1231">
        <f>'F1'!I120/(1-'F1.3'!$J$31)</f>
        <v>0.50459413435846479</v>
      </c>
      <c r="J122" s="1231">
        <f>'F1'!J120/(1-'F1.3'!$J$31)</f>
        <v>0.50459413435846479</v>
      </c>
      <c r="K122" s="1231">
        <f>'F1'!K120/(1-'F1.3'!$J$31)</f>
        <v>0.50459413435846479</v>
      </c>
      <c r="L122" s="1231">
        <f>'F1'!L120/(1-'F1.3'!$J$31)</f>
        <v>0.50459413435846479</v>
      </c>
      <c r="M122" s="1231">
        <f>'F1'!M120/(1-'F1.3'!$J$31)</f>
        <v>0.50459413435846479</v>
      </c>
      <c r="N122" s="1231">
        <f>'F1'!N120/(1-'F1.3'!$J$31)</f>
        <v>0.50459413435846479</v>
      </c>
      <c r="O122" s="1232">
        <f t="shared" ref="O122:O128" si="21">SUM(C122:N122)</f>
        <v>5.0459413435846479</v>
      </c>
    </row>
    <row r="123" spans="2:18" s="10" customFormat="1">
      <c r="B123" s="450" t="str">
        <f>Backup!A51</f>
        <v>LT Category</v>
      </c>
      <c r="C123" s="1231"/>
      <c r="D123" s="1231"/>
      <c r="E123" s="1231"/>
      <c r="F123" s="1231"/>
      <c r="G123" s="1231"/>
      <c r="H123" s="1231"/>
      <c r="I123" s="1231"/>
      <c r="J123" s="1231"/>
      <c r="K123" s="1231"/>
      <c r="L123" s="1231"/>
      <c r="M123" s="1231"/>
      <c r="N123" s="1231"/>
      <c r="O123" s="1232"/>
    </row>
    <row r="124" spans="2:18" s="10" customFormat="1">
      <c r="B124" s="451" t="str">
        <f>Backup!A52</f>
        <v>LT I (G-P)</v>
      </c>
      <c r="C124" s="1231">
        <f>'F1'!C122/(1-'F1.3'!$J$31)</f>
        <v>0</v>
      </c>
      <c r="D124" s="1231">
        <f>'F1'!D122/(1-'F1.3'!$J$31)</f>
        <v>0</v>
      </c>
      <c r="E124" s="1231">
        <f>'F1'!E122/(1-'F1.3'!$J$31)</f>
        <v>0</v>
      </c>
      <c r="F124" s="1231">
        <f>'F1'!F122/(1-'F1.3'!$J$31)</f>
        <v>0</v>
      </c>
      <c r="G124" s="1231">
        <f>'F1'!G122/(1-'F1.3'!$J$31)</f>
        <v>0</v>
      </c>
      <c r="H124" s="1231">
        <f>'F1'!H122/(1-'F1.3'!$J$31)</f>
        <v>0</v>
      </c>
      <c r="I124" s="1231">
        <f>'F1'!I122/(1-'F1.3'!$J$31)</f>
        <v>0</v>
      </c>
      <c r="J124" s="1231">
        <f>'F1'!J122/(1-'F1.3'!$J$31)</f>
        <v>0</v>
      </c>
      <c r="K124" s="1231">
        <f>'F1'!K122/(1-'F1.3'!$J$31)</f>
        <v>0</v>
      </c>
      <c r="L124" s="1231">
        <f>'F1'!L122/(1-'F1.3'!$J$31)</f>
        <v>0</v>
      </c>
      <c r="M124" s="1231">
        <f>'F1'!M122/(1-'F1.3'!$J$31)</f>
        <v>0</v>
      </c>
      <c r="N124" s="1231">
        <f>'F1'!N122/(1-'F1.3'!$J$31)</f>
        <v>0</v>
      </c>
      <c r="O124" s="1232">
        <f t="shared" si="21"/>
        <v>0</v>
      </c>
    </row>
    <row r="125" spans="2:18" s="10" customFormat="1">
      <c r="B125" s="451" t="str">
        <f>Backup!A53</f>
        <v>LT II (A)</v>
      </c>
      <c r="C125" s="1231">
        <f>'F1'!C123/(1-'F1.3'!$J$31)</f>
        <v>4.9098113325044601E-2</v>
      </c>
      <c r="D125" s="1231">
        <f>'F1'!D123/(1-'F1.3'!$J$31)</f>
        <v>5.2266443747669103E-2</v>
      </c>
      <c r="E125" s="1231">
        <f>'F1'!E123/(1-'F1.3'!$J$31)</f>
        <v>4.739887138463883E-2</v>
      </c>
      <c r="F125" s="1231">
        <f>'F1'!F123/(1-'F1.3'!$J$31)</f>
        <v>4.6868947633923838E-2</v>
      </c>
      <c r="G125" s="1231">
        <f>'F1'!G123/(1-'F1.3'!$J$31)</f>
        <v>5.0255811721009382E-2</v>
      </c>
      <c r="H125" s="1231">
        <f>'F1'!H123/(1-'F1.3'!$J$31)</f>
        <v>5.0514189046588789E-2</v>
      </c>
      <c r="I125" s="1231">
        <f>'F1'!I123/(1-'F1.3'!$J$31)</f>
        <v>5.7015310744266849E-2</v>
      </c>
      <c r="J125" s="1231">
        <f>'F1'!J123/(1-'F1.3'!$J$31)</f>
        <v>5.5635164648059635E-2</v>
      </c>
      <c r="K125" s="1231">
        <f>'F1'!K123/(1-'F1.3'!$J$31)</f>
        <v>5.7688555477070767E-2</v>
      </c>
      <c r="L125" s="1231">
        <f>'F1'!L123/(1-'F1.3'!$J$31)</f>
        <v>5.7960366915045705E-2</v>
      </c>
      <c r="M125" s="1231">
        <f>'F1'!M123/(1-'F1.3'!$J$31)</f>
        <v>5.5001131622680249E-2</v>
      </c>
      <c r="N125" s="1231">
        <f>'F1'!N123/(1-'F1.3'!$J$31)</f>
        <v>6.4246186066342678E-2</v>
      </c>
      <c r="O125" s="1232">
        <f t="shared" si="21"/>
        <v>0.64394909233234043</v>
      </c>
    </row>
    <row r="126" spans="2:18" s="10" customFormat="1">
      <c r="B126" s="451" t="str">
        <f>Backup!A54</f>
        <v>LT II (B)</v>
      </c>
      <c r="C126" s="1231">
        <f>'F1'!C124/(1-'F1.3'!$J$31)</f>
        <v>5.2253702745776544E-2</v>
      </c>
      <c r="D126" s="1231">
        <f>'F1'!D124/(1-'F1.3'!$J$31)</f>
        <v>6.1389408814796348E-2</v>
      </c>
      <c r="E126" s="1231">
        <f>'F1'!E124/(1-'F1.3'!$J$31)</f>
        <v>2.8744719549746993E-2</v>
      </c>
      <c r="F126" s="1231">
        <f>'F1'!F124/(1-'F1.3'!$J$31)</f>
        <v>3.3412411075086926E-2</v>
      </c>
      <c r="G126" s="1231">
        <f>'F1'!G124/(1-'F1.3'!$J$31)</f>
        <v>3.3550166787549185E-2</v>
      </c>
      <c r="H126" s="1231">
        <f>'F1'!H124/(1-'F1.3'!$J$31)</f>
        <v>2.5464237732063497E-2</v>
      </c>
      <c r="I126" s="1231">
        <f>'F1'!I124/(1-'F1.3'!$J$31)</f>
        <v>2.7267487019118544E-2</v>
      </c>
      <c r="J126" s="1231">
        <f>'F1'!J124/(1-'F1.3'!$J$31)</f>
        <v>2.1761427376447227E-2</v>
      </c>
      <c r="K126" s="1231">
        <f>'F1'!K124/(1-'F1.3'!$J$31)</f>
        <v>2.1852010803502516E-2</v>
      </c>
      <c r="L126" s="1231">
        <f>'F1'!L124/(1-'F1.3'!$J$31)</f>
        <v>2.3484632593212519E-2</v>
      </c>
      <c r="M126" s="1231">
        <f>'F1'!M124/(1-'F1.3'!$J$31)</f>
        <v>2.3705571758830864E-2</v>
      </c>
      <c r="N126" s="1231">
        <f>'F1'!N124/(1-'F1.3'!$J$31)</f>
        <v>2.9124116007702622E-2</v>
      </c>
      <c r="O126" s="1232">
        <f t="shared" si="21"/>
        <v>0.38200989226383375</v>
      </c>
    </row>
    <row r="127" spans="2:18" s="10" customFormat="1">
      <c r="B127" s="451" t="str">
        <f>Backup!A55</f>
        <v>LT III (A)</v>
      </c>
      <c r="C127" s="1231">
        <f>'F1'!C125/(1-'F1.3'!$J$31)</f>
        <v>5.840475267545487E-4</v>
      </c>
      <c r="D127" s="1231">
        <f>'F1'!D125/(1-'F1.3'!$J$31)</f>
        <v>6.0229264146468208E-4</v>
      </c>
      <c r="E127" s="1231">
        <f>'F1'!E125/(1-'F1.3'!$J$31)</f>
        <v>6.2522644487127414E-4</v>
      </c>
      <c r="F127" s="1231">
        <f>'F1'!F125/(1-'F1.3'!$J$31)</f>
        <v>6.8047142907737659E-4</v>
      </c>
      <c r="G127" s="1231">
        <f>'F1'!G125/(1-'F1.3'!$J$31)</f>
        <v>6.0718518619142176E-4</v>
      </c>
      <c r="H127" s="1231">
        <f>'F1'!H125/(1-'F1.3'!$J$31)</f>
        <v>5.3002567873013139E-4</v>
      </c>
      <c r="I127" s="1231">
        <f>'F1'!I125/(1-'F1.3'!$J$31)</f>
        <v>5.0566488311157352E-4</v>
      </c>
      <c r="J127" s="1231">
        <f>'F1'!J125/(1-'F1.3'!$J$31)</f>
        <v>4.504198989054713E-4</v>
      </c>
      <c r="K127" s="1231">
        <f>'F1'!K125/(1-'F1.3'!$J$31)</f>
        <v>4.7936745520534772E-4</v>
      </c>
      <c r="L127" s="1231">
        <f>'F1'!L125/(1-'F1.3'!$J$31)</f>
        <v>4.3074779198337226E-4</v>
      </c>
      <c r="M127" s="1231">
        <f>'F1'!M125/(1-'F1.3'!$J$31)</f>
        <v>4.1821064612110174E-4</v>
      </c>
      <c r="N127" s="1231">
        <f>'F1'!N125/(1-'F1.3'!$J$31)</f>
        <v>4.4583313822415285E-4</v>
      </c>
      <c r="O127" s="1232">
        <f t="shared" si="21"/>
        <v>6.3594927206404549E-3</v>
      </c>
    </row>
    <row r="128" spans="2:18">
      <c r="B128" s="451" t="str">
        <f>Backup!A56</f>
        <v>LT III (B)</v>
      </c>
      <c r="C128" s="1231">
        <f>'F1'!C126/(1-'F1.3'!$J$31)</f>
        <v>0.60362178278211287</v>
      </c>
      <c r="D128" s="1231">
        <f>'F1'!D126/(1-'F1.3'!$J$31)</f>
        <v>0.64467634872036728</v>
      </c>
      <c r="E128" s="1231">
        <f>'F1'!E126/(1-'F1.3'!$J$31)</f>
        <v>0.6447966237782331</v>
      </c>
      <c r="F128" s="1231">
        <f>'F1'!F126/(1-'F1.3'!$J$31)</f>
        <v>0.63467953439383828</v>
      </c>
      <c r="G128" s="1231">
        <f>'F1'!G126/(1-'F1.3'!$J$31)</f>
        <v>0.62968477625351582</v>
      </c>
      <c r="H128" s="1231">
        <f>'F1'!H126/(1-'F1.3'!$J$31)</f>
        <v>0.61951847602341137</v>
      </c>
      <c r="I128" s="1231">
        <f>'F1'!I126/(1-'F1.3'!$J$31)</f>
        <v>0.60399076219692138</v>
      </c>
      <c r="J128" s="1231">
        <f>'F1'!J126/(1-'F1.3'!$J$31)</f>
        <v>0.58499953441596009</v>
      </c>
      <c r="K128" s="1231">
        <f>'F1'!K126/(1-'F1.3'!$J$31)</f>
        <v>0.57080503902750657</v>
      </c>
      <c r="L128" s="1231">
        <f>'F1'!L126/(1-'F1.3'!$J$31)</f>
        <v>0.57556507733456375</v>
      </c>
      <c r="M128" s="1231">
        <f>'F1'!M126/(1-'F1.3'!$J$31)</f>
        <v>0.53800949630004957</v>
      </c>
      <c r="N128" s="1231">
        <f>'F1'!N126/(1-'F1.3'!$J$31)</f>
        <v>0.61577975642806104</v>
      </c>
      <c r="O128" s="1232">
        <f t="shared" si="21"/>
        <v>7.2661272076545416</v>
      </c>
      <c r="P128" s="10"/>
    </row>
    <row r="129" spans="2:18" s="1" customFormat="1">
      <c r="B129" s="63" t="s">
        <v>115</v>
      </c>
      <c r="C129" s="660">
        <f t="shared" ref="C129:M129" si="22">SUM(C121:C128)</f>
        <v>7.731014078946103</v>
      </c>
      <c r="D129" s="660">
        <f t="shared" si="22"/>
        <v>8.40710790362923</v>
      </c>
      <c r="E129" s="660">
        <f t="shared" si="22"/>
        <v>8.1857735681421193</v>
      </c>
      <c r="F129" s="660">
        <f t="shared" si="22"/>
        <v>8.3941246035050288</v>
      </c>
      <c r="G129" s="660">
        <f t="shared" si="22"/>
        <v>8.0005401429755043</v>
      </c>
      <c r="H129" s="660">
        <f t="shared" si="22"/>
        <v>7.9300485726014704</v>
      </c>
      <c r="I129" s="660">
        <f t="shared" si="22"/>
        <v>8.0627284635729719</v>
      </c>
      <c r="J129" s="660">
        <f t="shared" si="22"/>
        <v>7.4558528837275384</v>
      </c>
      <c r="K129" s="660">
        <f t="shared" si="22"/>
        <v>7.1933540173135002</v>
      </c>
      <c r="L129" s="660">
        <f t="shared" si="22"/>
        <v>7.2807602564016429</v>
      </c>
      <c r="M129" s="660">
        <f t="shared" si="22"/>
        <v>6.9479722486516371</v>
      </c>
      <c r="N129" s="660">
        <f>SUM(N121:N128)</f>
        <v>8.1050783714988359</v>
      </c>
      <c r="O129" s="660">
        <f>SUM(O121:O128)</f>
        <v>93.694355110965574</v>
      </c>
      <c r="P129" s="10"/>
    </row>
    <row r="130" spans="2:18" s="1" customFormat="1">
      <c r="B130" s="181"/>
      <c r="C130" s="155"/>
      <c r="D130" s="155"/>
      <c r="E130" s="326"/>
      <c r="F130" s="327"/>
      <c r="G130" s="326"/>
      <c r="H130" s="326"/>
      <c r="I130" s="326"/>
      <c r="J130" s="326"/>
      <c r="K130" s="326"/>
      <c r="L130" s="326"/>
      <c r="M130" s="326"/>
      <c r="N130" s="326"/>
      <c r="O130" s="328"/>
      <c r="P130" s="10"/>
    </row>
    <row r="131" spans="2:18" s="1" customFormat="1" ht="18">
      <c r="B131" s="46" t="s">
        <v>685</v>
      </c>
      <c r="C131" s="154"/>
      <c r="D131" s="154"/>
      <c r="E131" s="154"/>
      <c r="F131" s="154"/>
      <c r="G131" s="154"/>
      <c r="H131" s="154"/>
      <c r="I131" s="154"/>
      <c r="J131" s="154"/>
      <c r="K131" s="154"/>
      <c r="L131" s="154"/>
      <c r="M131" s="154"/>
      <c r="N131" s="154"/>
      <c r="O131" s="62"/>
      <c r="P131" s="43"/>
      <c r="Q131" s="43"/>
      <c r="R131" s="59"/>
    </row>
    <row r="132" spans="2:18" s="1" customFormat="1" ht="18">
      <c r="B132" s="46"/>
      <c r="C132" s="52"/>
      <c r="D132" s="52"/>
      <c r="E132" s="155"/>
      <c r="F132" s="155"/>
      <c r="G132" s="155"/>
      <c r="H132" s="155"/>
      <c r="I132" s="155"/>
      <c r="J132" s="155"/>
      <c r="K132" s="155"/>
      <c r="L132" s="155"/>
      <c r="M132" s="155"/>
      <c r="N132" s="155"/>
      <c r="O132" s="52" t="s">
        <v>117</v>
      </c>
      <c r="P132" s="10"/>
      <c r="Q132" s="43"/>
    </row>
    <row r="133" spans="2:18" s="74" customFormat="1" ht="28.5">
      <c r="B133" s="269" t="s">
        <v>266</v>
      </c>
      <c r="C133" s="414" t="s">
        <v>118</v>
      </c>
      <c r="D133" s="414" t="s">
        <v>119</v>
      </c>
      <c r="E133" s="413" t="s">
        <v>120</v>
      </c>
      <c r="F133" s="413" t="s">
        <v>121</v>
      </c>
      <c r="G133" s="413" t="s">
        <v>122</v>
      </c>
      <c r="H133" s="413" t="s">
        <v>123</v>
      </c>
      <c r="I133" s="413" t="s">
        <v>124</v>
      </c>
      <c r="J133" s="413" t="s">
        <v>125</v>
      </c>
      <c r="K133" s="413" t="s">
        <v>126</v>
      </c>
      <c r="L133" s="413" t="s">
        <v>127</v>
      </c>
      <c r="M133" s="413" t="s">
        <v>128</v>
      </c>
      <c r="N133" s="413" t="s">
        <v>129</v>
      </c>
      <c r="O133" s="329" t="s">
        <v>283</v>
      </c>
      <c r="P133" s="54"/>
    </row>
    <row r="134" spans="2:18" s="39" customFormat="1">
      <c r="B134" s="98"/>
      <c r="C134" s="98"/>
      <c r="D134" s="98"/>
      <c r="E134" s="98"/>
      <c r="F134" s="98"/>
      <c r="G134" s="98"/>
      <c r="H134" s="98"/>
      <c r="I134" s="98"/>
      <c r="J134" s="98"/>
      <c r="K134" s="98"/>
      <c r="L134" s="98"/>
      <c r="M134" s="98"/>
      <c r="N134" s="98"/>
      <c r="O134" s="190"/>
      <c r="P134" s="10"/>
    </row>
    <row r="135" spans="2:18" s="10" customFormat="1" ht="14.25">
      <c r="B135" s="446" t="str">
        <f>Backup!A62</f>
        <v>HT Category</v>
      </c>
      <c r="C135" s="446"/>
      <c r="D135" s="446"/>
      <c r="E135" s="446"/>
      <c r="F135" s="446"/>
      <c r="G135" s="446"/>
      <c r="H135" s="446"/>
      <c r="I135" s="446"/>
      <c r="J135" s="446"/>
      <c r="K135" s="446"/>
      <c r="L135" s="446"/>
      <c r="M135" s="446"/>
      <c r="N135" s="446"/>
      <c r="O135" s="99"/>
    </row>
    <row r="136" spans="2:18" s="10" customFormat="1">
      <c r="B136" s="447" t="str">
        <f>Backup!A63</f>
        <v>HT I</v>
      </c>
      <c r="C136" s="1231">
        <f>'F1'!C134/(1-'F1.3'!$J$37)</f>
        <v>7.0957109968920786</v>
      </c>
      <c r="D136" s="1231">
        <f>'F1'!D134/(1-'F1.3'!$J$37)</f>
        <v>7.7246551438019813</v>
      </c>
      <c r="E136" s="1231">
        <f>'F1'!E134/(1-'F1.3'!$J$37)</f>
        <v>7.0292101325524268</v>
      </c>
      <c r="F136" s="1231">
        <f>'F1'!F134/(1-'F1.3'!$J$37)</f>
        <v>7.245627995660783</v>
      </c>
      <c r="G136" s="1231">
        <f>'F1'!G134/(1-'F1.3'!$J$37)</f>
        <v>6.8496665493554607</v>
      </c>
      <c r="H136" s="1231">
        <f>'F1'!H134/(1-'F1.3'!$J$37)</f>
        <v>6.7967217848598347</v>
      </c>
      <c r="I136" s="1231">
        <f>'F1'!I134/(1-'F1.3'!$J$37)</f>
        <v>6.9380486554148</v>
      </c>
      <c r="J136" s="1231">
        <f>'F1'!J134/(1-'F1.3'!$J$37)</f>
        <v>6.351296325059999</v>
      </c>
      <c r="K136" s="1231">
        <f>'F1'!K134/(1-'F1.3'!$J$37)</f>
        <v>6.0983142592936685</v>
      </c>
      <c r="L136" s="1231">
        <f>'F1'!L134/(1-'F1.3'!$J$37)</f>
        <v>6.1799125503824577</v>
      </c>
      <c r="M136" s="1231">
        <f>'F1'!M134/(1-'F1.3'!$J$37)</f>
        <v>5.8845061410051454</v>
      </c>
      <c r="N136" s="1231">
        <f>'F1'!N134/(1-'F1.3'!$J$37)</f>
        <v>6.9597972289550425</v>
      </c>
      <c r="O136" s="1232">
        <f>SUM(C136:N136)</f>
        <v>81.153467763233664</v>
      </c>
    </row>
    <row r="137" spans="2:18" s="10" customFormat="1">
      <c r="B137" s="447" t="str">
        <f>Backup!A64</f>
        <v>HT II</v>
      </c>
      <c r="C137" s="1231">
        <f>'F1'!C135/(1-'F1.3'!$J$37)</f>
        <v>0.50459413435846479</v>
      </c>
      <c r="D137" s="1231">
        <f>'F1'!D135/(1-'F1.3'!$J$37)</f>
        <v>0.50459413435846479</v>
      </c>
      <c r="E137" s="1231">
        <f>'F1'!E135/(1-'F1.3'!$J$37)</f>
        <v>0.50459413435846479</v>
      </c>
      <c r="F137" s="1231">
        <f>'F1'!F135/(1-'F1.3'!$J$37)</f>
        <v>0.50459413435846479</v>
      </c>
      <c r="G137" s="1231">
        <f>'F1'!G135/(1-'F1.3'!$J$37)</f>
        <v>0.50459413435846479</v>
      </c>
      <c r="H137" s="1231">
        <f>'F1'!H135/(1-'F1.3'!$J$37)</f>
        <v>0.50459413435846479</v>
      </c>
      <c r="I137" s="1231">
        <f>'F1'!I135/(1-'F1.3'!$J$37)</f>
        <v>0.50459413435846479</v>
      </c>
      <c r="J137" s="1231">
        <f>'F1'!J135/(1-'F1.3'!$J$37)</f>
        <v>0.50459413435846479</v>
      </c>
      <c r="K137" s="1231">
        <f>'F1'!K135/(1-'F1.3'!$J$37)</f>
        <v>0.50459413435846479</v>
      </c>
      <c r="L137" s="1231">
        <f>'F1'!L135/(1-'F1.3'!$J$37)</f>
        <v>0.50459413435846479</v>
      </c>
      <c r="M137" s="1231">
        <f>'F1'!M135/(1-'F1.3'!$J$37)</f>
        <v>0.50459413435846479</v>
      </c>
      <c r="N137" s="1231">
        <f>'F1'!N135/(1-'F1.3'!$J$37)</f>
        <v>0.50459413435846479</v>
      </c>
      <c r="O137" s="1232">
        <f t="shared" ref="O137:O143" si="23">SUM(C137:N137)</f>
        <v>6.0551296123015774</v>
      </c>
    </row>
    <row r="138" spans="2:18" s="10" customFormat="1">
      <c r="B138" s="446" t="str">
        <f>Backup!A65</f>
        <v>LT Category</v>
      </c>
      <c r="C138" s="1231"/>
      <c r="D138" s="1231"/>
      <c r="E138" s="1231"/>
      <c r="F138" s="1231"/>
      <c r="G138" s="1231"/>
      <c r="H138" s="1231"/>
      <c r="I138" s="1231"/>
      <c r="J138" s="1231"/>
      <c r="K138" s="1231"/>
      <c r="L138" s="1231"/>
      <c r="M138" s="1231"/>
      <c r="N138" s="1231"/>
      <c r="O138" s="1232"/>
    </row>
    <row r="139" spans="2:18" s="10" customFormat="1">
      <c r="B139" s="447" t="str">
        <f>Backup!A66</f>
        <v>LT I (G-P)</v>
      </c>
      <c r="C139" s="1231">
        <f>'F1'!C137/(1-'F1.3'!$J$37)</f>
        <v>0</v>
      </c>
      <c r="D139" s="1231">
        <f>'F1'!D137/(1-'F1.3'!$J$37)</f>
        <v>0</v>
      </c>
      <c r="E139" s="1231">
        <f>'F1'!E137/(1-'F1.3'!$J$37)</f>
        <v>0</v>
      </c>
      <c r="F139" s="1231">
        <f>'F1'!F137/(1-'F1.3'!$J$37)</f>
        <v>0</v>
      </c>
      <c r="G139" s="1231">
        <f>'F1'!G137/(1-'F1.3'!$J$37)</f>
        <v>0</v>
      </c>
      <c r="H139" s="1231">
        <f>'F1'!H137/(1-'F1.3'!$J$37)</f>
        <v>0</v>
      </c>
      <c r="I139" s="1231">
        <f>'F1'!I137/(1-'F1.3'!$J$37)</f>
        <v>0</v>
      </c>
      <c r="J139" s="1231">
        <f>'F1'!J137/(1-'F1.3'!$J$37)</f>
        <v>0</v>
      </c>
      <c r="K139" s="1231">
        <f>'F1'!K137/(1-'F1.3'!$J$37)</f>
        <v>0</v>
      </c>
      <c r="L139" s="1231">
        <f>'F1'!L137/(1-'F1.3'!$J$37)</f>
        <v>0</v>
      </c>
      <c r="M139" s="1231">
        <f>'F1'!M137/(1-'F1.3'!$J$37)</f>
        <v>0</v>
      </c>
      <c r="N139" s="1231">
        <f>'F1'!N137/(1-'F1.3'!$J$37)</f>
        <v>0</v>
      </c>
      <c r="O139" s="1232">
        <f t="shared" si="23"/>
        <v>0</v>
      </c>
    </row>
    <row r="140" spans="2:18" s="10" customFormat="1">
      <c r="B140" s="447" t="str">
        <f>Backup!A67</f>
        <v>LT II (A)</v>
      </c>
      <c r="C140" s="1231">
        <f>'F1'!C138/(1-'F1.3'!$J$37)</f>
        <v>4.9589094458295041E-2</v>
      </c>
      <c r="D140" s="1231">
        <f>'F1'!D138/(1-'F1.3'!$J$37)</f>
        <v>5.2789108185145796E-2</v>
      </c>
      <c r="E140" s="1231">
        <f>'F1'!E138/(1-'F1.3'!$J$37)</f>
        <v>4.7872860098485223E-2</v>
      </c>
      <c r="F140" s="1231">
        <f>'F1'!F138/(1-'F1.3'!$J$37)</f>
        <v>4.7337637110263078E-2</v>
      </c>
      <c r="G140" s="1231">
        <f>'F1'!G138/(1-'F1.3'!$J$37)</f>
        <v>5.0758369838219478E-2</v>
      </c>
      <c r="H140" s="1231">
        <f>'F1'!H138/(1-'F1.3'!$J$37)</f>
        <v>5.1019330937054679E-2</v>
      </c>
      <c r="I140" s="1231">
        <f>'F1'!I138/(1-'F1.3'!$J$37)</f>
        <v>5.7585463851709526E-2</v>
      </c>
      <c r="J140" s="1231">
        <f>'F1'!J138/(1-'F1.3'!$J$37)</f>
        <v>5.6191516294540229E-2</v>
      </c>
      <c r="K140" s="1231">
        <f>'F1'!K138/(1-'F1.3'!$J$37)</f>
        <v>5.8265441031841482E-2</v>
      </c>
      <c r="L140" s="1231">
        <f>'F1'!L138/(1-'F1.3'!$J$37)</f>
        <v>5.853997058419616E-2</v>
      </c>
      <c r="M140" s="1231">
        <f>'F1'!M138/(1-'F1.3'!$J$37)</f>
        <v>5.5551142938907054E-2</v>
      </c>
      <c r="N140" s="1231">
        <f>'F1'!N138/(1-'F1.3'!$J$37)</f>
        <v>6.4888647927006105E-2</v>
      </c>
      <c r="O140" s="1232">
        <f t="shared" si="23"/>
        <v>0.65038858325566384</v>
      </c>
    </row>
    <row r="141" spans="2:18" s="10" customFormat="1">
      <c r="B141" s="447" t="str">
        <f>Backup!A68</f>
        <v>LT II (B)</v>
      </c>
      <c r="C141" s="1231">
        <f>'F1'!C139/(1-'F1.3'!$J$37)</f>
        <v>5.2776239773234306E-2</v>
      </c>
      <c r="D141" s="1231">
        <f>'F1'!D139/(1-'F1.3'!$J$37)</f>
        <v>6.2003302902944313E-2</v>
      </c>
      <c r="E141" s="1231">
        <f>'F1'!E139/(1-'F1.3'!$J$37)</f>
        <v>2.9032166745244465E-2</v>
      </c>
      <c r="F141" s="1231">
        <f>'F1'!F139/(1-'F1.3'!$J$37)</f>
        <v>3.3746535185837798E-2</v>
      </c>
      <c r="G141" s="1231">
        <f>'F1'!G139/(1-'F1.3'!$J$37)</f>
        <v>3.3885668455424678E-2</v>
      </c>
      <c r="H141" s="1231">
        <f>'F1'!H139/(1-'F1.3'!$J$37)</f>
        <v>2.5718880109384133E-2</v>
      </c>
      <c r="I141" s="1231">
        <f>'F1'!I139/(1-'F1.3'!$J$37)</f>
        <v>2.7540161889309727E-2</v>
      </c>
      <c r="J141" s="1231">
        <f>'F1'!J139/(1-'F1.3'!$J$37)</f>
        <v>2.1979041650211702E-2</v>
      </c>
      <c r="K141" s="1231">
        <f>'F1'!K139/(1-'F1.3'!$J$37)</f>
        <v>2.2070530911537538E-2</v>
      </c>
      <c r="L141" s="1231">
        <f>'F1'!L139/(1-'F1.3'!$J$37)</f>
        <v>2.3719478919144648E-2</v>
      </c>
      <c r="M141" s="1231">
        <f>'F1'!M139/(1-'F1.3'!$J$37)</f>
        <v>2.3942627476419173E-2</v>
      </c>
      <c r="N141" s="1231">
        <f>'F1'!N139/(1-'F1.3'!$J$37)</f>
        <v>2.9415357167779651E-2</v>
      </c>
      <c r="O141" s="1232">
        <f t="shared" si="23"/>
        <v>0.38582999118647215</v>
      </c>
    </row>
    <row r="142" spans="2:18" s="10" customFormat="1">
      <c r="B142" s="447" t="str">
        <f>Backup!A69</f>
        <v>LT III (A)</v>
      </c>
      <c r="C142" s="1231">
        <f>'F1'!C140/(1-'F1.3'!$J$37)</f>
        <v>5.898880020220943E-4</v>
      </c>
      <c r="D142" s="1231">
        <f>'F1'!D140/(1-'F1.3'!$J$37)</f>
        <v>6.0831556787932885E-4</v>
      </c>
      <c r="E142" s="1231">
        <f>'F1'!E140/(1-'F1.3'!$J$37)</f>
        <v>6.3147870931998696E-4</v>
      </c>
      <c r="F142" s="1231">
        <f>'F1'!F140/(1-'F1.3'!$J$37)</f>
        <v>6.8727614336815037E-4</v>
      </c>
      <c r="G142" s="1231">
        <f>'F1'!G140/(1-'F1.3'!$J$37)</f>
        <v>6.1325703805333595E-4</v>
      </c>
      <c r="H142" s="1231">
        <f>'F1'!H140/(1-'F1.3'!$J$37)</f>
        <v>5.3532593551743263E-4</v>
      </c>
      <c r="I142" s="1231">
        <f>'F1'!I140/(1-'F1.3'!$J$37)</f>
        <v>5.1072153194268923E-4</v>
      </c>
      <c r="J142" s="1231">
        <f>'F1'!J140/(1-'F1.3'!$J$37)</f>
        <v>4.5492409789452598E-4</v>
      </c>
      <c r="K142" s="1231">
        <f>'F1'!K140/(1-'F1.3'!$J$37)</f>
        <v>4.8416112975740121E-4</v>
      </c>
      <c r="L142" s="1231">
        <f>'F1'!L140/(1-'F1.3'!$J$37)</f>
        <v>4.3505526990320596E-4</v>
      </c>
      <c r="M142" s="1231">
        <f>'F1'!M140/(1-'F1.3'!$J$37)</f>
        <v>4.2239275258231277E-4</v>
      </c>
      <c r="N142" s="1231">
        <f>'F1'!N140/(1-'F1.3'!$J$37)</f>
        <v>4.5029146960639437E-4</v>
      </c>
      <c r="O142" s="1232">
        <f t="shared" si="23"/>
        <v>6.4230876478468587E-3</v>
      </c>
    </row>
    <row r="143" spans="2:18">
      <c r="B143" s="447" t="str">
        <f>Backup!A70</f>
        <v>LT III (B)</v>
      </c>
      <c r="C143" s="1231">
        <f>'F1'!C141/(1-'F1.3'!$J$37)</f>
        <v>0.60965800060993403</v>
      </c>
      <c r="D143" s="1231">
        <f>'F1'!D141/(1-'F1.3'!$J$37)</f>
        <v>0.65112311220757102</v>
      </c>
      <c r="E143" s="1231">
        <f>'F1'!E141/(1-'F1.3'!$J$37)</f>
        <v>0.65124459001601531</v>
      </c>
      <c r="F143" s="1231">
        <f>'F1'!F141/(1-'F1.3'!$J$37)</f>
        <v>0.64102632973777673</v>
      </c>
      <c r="G143" s="1231">
        <f>'F1'!G141/(1-'F1.3'!$J$37)</f>
        <v>0.63598162401605107</v>
      </c>
      <c r="H143" s="1231">
        <f>'F1'!H141/(1-'F1.3'!$J$37)</f>
        <v>0.62571366078364543</v>
      </c>
      <c r="I143" s="1231">
        <f>'F1'!I141/(1-'F1.3'!$J$37)</f>
        <v>0.61003066981889054</v>
      </c>
      <c r="J143" s="1231">
        <f>'F1'!J141/(1-'F1.3'!$J$37)</f>
        <v>0.59084952976011973</v>
      </c>
      <c r="K143" s="1231">
        <f>'F1'!K141/(1-'F1.3'!$J$37)</f>
        <v>0.57651308941778168</v>
      </c>
      <c r="L143" s="1231">
        <f>'F1'!L141/(1-'F1.3'!$J$37)</f>
        <v>0.58132072810790936</v>
      </c>
      <c r="M143" s="1231">
        <f>'F1'!M141/(1-'F1.3'!$J$37)</f>
        <v>0.54338959126305009</v>
      </c>
      <c r="N143" s="1231">
        <f>'F1'!N141/(1-'F1.3'!$J$37)</f>
        <v>0.62193755399234163</v>
      </c>
      <c r="O143" s="1232">
        <f t="shared" si="23"/>
        <v>7.3387884797310869</v>
      </c>
      <c r="P143" s="10"/>
    </row>
    <row r="144" spans="2:18" s="1" customFormat="1">
      <c r="B144" s="63" t="s">
        <v>115</v>
      </c>
      <c r="C144" s="455">
        <f>SUM(C136:C143)</f>
        <v>8.3129183540940286</v>
      </c>
      <c r="D144" s="455">
        <f t="shared" ref="D144:O144" si="24">SUM(D136:D143)</f>
        <v>8.995773117023985</v>
      </c>
      <c r="E144" s="455">
        <f t="shared" si="24"/>
        <v>8.262585362479955</v>
      </c>
      <c r="F144" s="455">
        <f t="shared" si="24"/>
        <v>8.473019908196493</v>
      </c>
      <c r="G144" s="455">
        <f t="shared" si="24"/>
        <v>8.0754996030616741</v>
      </c>
      <c r="H144" s="455">
        <f t="shared" si="24"/>
        <v>8.0043031169839018</v>
      </c>
      <c r="I144" s="455">
        <f t="shared" si="24"/>
        <v>8.1383098068651183</v>
      </c>
      <c r="J144" s="455">
        <f t="shared" si="24"/>
        <v>7.5253654712212308</v>
      </c>
      <c r="K144" s="455">
        <f t="shared" si="24"/>
        <v>7.2602416161430519</v>
      </c>
      <c r="L144" s="455">
        <f t="shared" si="24"/>
        <v>7.348521917622076</v>
      </c>
      <c r="M144" s="455">
        <f t="shared" si="24"/>
        <v>7.012406029794569</v>
      </c>
      <c r="N144" s="455">
        <f t="shared" si="24"/>
        <v>8.1810832138702416</v>
      </c>
      <c r="O144" s="455">
        <f t="shared" si="24"/>
        <v>95.590027517356319</v>
      </c>
      <c r="P144" s="10"/>
    </row>
    <row r="145" spans="2:16" s="1" customFormat="1">
      <c r="B145" s="181"/>
      <c r="C145" s="155"/>
      <c r="D145" s="155"/>
      <c r="E145" s="326"/>
      <c r="F145" s="327"/>
      <c r="G145" s="326"/>
      <c r="H145" s="326"/>
      <c r="I145" s="326"/>
      <c r="J145" s="326"/>
      <c r="K145" s="326"/>
      <c r="L145" s="326"/>
      <c r="M145" s="326"/>
      <c r="N145" s="326"/>
      <c r="O145" s="328"/>
      <c r="P145" s="10"/>
    </row>
    <row r="147" spans="2:16">
      <c r="B147" s="10" t="s">
        <v>712</v>
      </c>
    </row>
    <row r="149" spans="2:16" ht="28.5">
      <c r="B149" s="414" t="s">
        <v>266</v>
      </c>
      <c r="C149" s="413" t="s">
        <v>713</v>
      </c>
      <c r="D149" s="413" t="s">
        <v>714</v>
      </c>
      <c r="E149" s="413" t="s">
        <v>715</v>
      </c>
      <c r="F149" s="413" t="s">
        <v>716</v>
      </c>
    </row>
    <row r="150" spans="2:16">
      <c r="B150" s="98"/>
      <c r="C150" s="1386" t="s">
        <v>961</v>
      </c>
      <c r="D150" s="1387"/>
      <c r="E150" s="1387"/>
      <c r="F150" s="1388"/>
    </row>
    <row r="151" spans="2:16">
      <c r="B151" s="132" t="s">
        <v>267</v>
      </c>
      <c r="C151" s="1389"/>
      <c r="D151" s="1390"/>
      <c r="E151" s="1390"/>
      <c r="F151" s="1391"/>
    </row>
    <row r="152" spans="2:16">
      <c r="B152" s="66" t="s">
        <v>268</v>
      </c>
      <c r="C152" s="1389"/>
      <c r="D152" s="1390"/>
      <c r="E152" s="1390"/>
      <c r="F152" s="1391"/>
    </row>
    <row r="153" spans="2:16">
      <c r="B153" s="66"/>
      <c r="C153" s="1389"/>
      <c r="D153" s="1390"/>
      <c r="E153" s="1390"/>
      <c r="F153" s="1391"/>
    </row>
    <row r="154" spans="2:16">
      <c r="B154" s="67" t="s">
        <v>269</v>
      </c>
      <c r="C154" s="1389"/>
      <c r="D154" s="1390"/>
      <c r="E154" s="1390"/>
      <c r="F154" s="1391"/>
    </row>
    <row r="155" spans="2:16">
      <c r="B155" s="67"/>
      <c r="C155" s="1389"/>
      <c r="D155" s="1390"/>
      <c r="E155" s="1390"/>
      <c r="F155" s="1391"/>
    </row>
    <row r="156" spans="2:16">
      <c r="B156" s="132" t="s">
        <v>270</v>
      </c>
      <c r="C156" s="1389"/>
      <c r="D156" s="1390"/>
      <c r="E156" s="1390"/>
      <c r="F156" s="1391"/>
    </row>
    <row r="157" spans="2:16">
      <c r="B157" s="66" t="s">
        <v>268</v>
      </c>
      <c r="C157" s="1389"/>
      <c r="D157" s="1390"/>
      <c r="E157" s="1390"/>
      <c r="F157" s="1391"/>
    </row>
    <row r="158" spans="2:16">
      <c r="B158" s="66"/>
      <c r="C158" s="1389"/>
      <c r="D158" s="1390"/>
      <c r="E158" s="1390"/>
      <c r="F158" s="1391"/>
    </row>
    <row r="159" spans="2:16">
      <c r="B159" s="67" t="s">
        <v>269</v>
      </c>
      <c r="C159" s="1389"/>
      <c r="D159" s="1390"/>
      <c r="E159" s="1390"/>
      <c r="F159" s="1391"/>
    </row>
    <row r="160" spans="2:16">
      <c r="B160" s="67"/>
      <c r="C160" s="1389"/>
      <c r="D160" s="1390"/>
      <c r="E160" s="1390"/>
      <c r="F160" s="1391"/>
    </row>
    <row r="161" spans="2:17">
      <c r="B161" s="63" t="s">
        <v>115</v>
      </c>
      <c r="C161" s="1392"/>
      <c r="D161" s="1393"/>
      <c r="E161" s="1393"/>
      <c r="F161" s="1394"/>
    </row>
    <row r="162" spans="2:17">
      <c r="B162" s="181" t="s">
        <v>450</v>
      </c>
    </row>
    <row r="163" spans="2:17">
      <c r="B163" s="39" t="s">
        <v>451</v>
      </c>
    </row>
    <row r="164" spans="2:17" s="1" customFormat="1" ht="18">
      <c r="B164" s="42" t="s">
        <v>452</v>
      </c>
      <c r="C164" s="44"/>
      <c r="D164" s="44"/>
      <c r="E164" s="44"/>
      <c r="F164" s="44"/>
      <c r="G164" s="16"/>
      <c r="H164" s="16"/>
      <c r="I164" s="16"/>
      <c r="J164" s="16"/>
      <c r="K164" s="16"/>
      <c r="L164" s="16"/>
      <c r="M164" s="16"/>
      <c r="N164" s="16"/>
      <c r="O164" s="16"/>
      <c r="P164" s="43"/>
      <c r="Q164" s="43"/>
    </row>
    <row r="165" spans="2:17">
      <c r="B165" s="39" t="s">
        <v>578</v>
      </c>
    </row>
  </sheetData>
  <mergeCells count="12">
    <mergeCell ref="C150:F161"/>
    <mergeCell ref="M30:N30"/>
    <mergeCell ref="B97:B98"/>
    <mergeCell ref="C97:H97"/>
    <mergeCell ref="I97:N97"/>
    <mergeCell ref="O97:O98"/>
    <mergeCell ref="K30:L30"/>
    <mergeCell ref="B9:B11"/>
    <mergeCell ref="C9:E9"/>
    <mergeCell ref="B30:B32"/>
    <mergeCell ref="C30:E30"/>
    <mergeCell ref="F30:J30"/>
  </mergeCells>
  <pageMargins left="0.6692913385826772" right="0.23622047244094491" top="0.35433070866141736" bottom="0.6692913385826772" header="0.23622047244094491" footer="0.23622047244094491"/>
  <pageSetup paperSize="9" scale="54" fitToHeight="0" orientation="landscape" r:id="rId1"/>
  <headerFooter alignWithMargins="0">
    <oddHeader>&amp;F</oddHeader>
  </headerFooter>
  <rowBreaks count="2" manualBreakCount="2">
    <brk id="53" max="16383" man="1"/>
    <brk id="114" max="14" man="1"/>
  </rowBreaks>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3:AA68"/>
  <sheetViews>
    <sheetView topLeftCell="A63" zoomScale="80" zoomScaleNormal="80" workbookViewId="0">
      <selection activeCell="V15" sqref="V15"/>
    </sheetView>
  </sheetViews>
  <sheetFormatPr defaultRowHeight="12.75"/>
  <cols>
    <col min="1" max="1" width="13.85546875" bestFit="1" customWidth="1"/>
    <col min="5" max="5" width="7.5703125" bestFit="1" customWidth="1"/>
    <col min="6" max="6" width="9.5703125" bestFit="1" customWidth="1"/>
    <col min="7" max="7" width="13.28515625" bestFit="1" customWidth="1"/>
    <col min="8" max="8" width="10.42578125" bestFit="1" customWidth="1"/>
    <col min="9" max="9" width="12.85546875" bestFit="1" customWidth="1"/>
    <col min="10" max="10" width="12.7109375" bestFit="1" customWidth="1"/>
    <col min="11" max="11" width="10.140625" bestFit="1" customWidth="1"/>
    <col min="12" max="12" width="11.28515625" bestFit="1" customWidth="1"/>
    <col min="14" max="14" width="10.28515625" bestFit="1" customWidth="1"/>
    <col min="15" max="15" width="10" customWidth="1"/>
  </cols>
  <sheetData>
    <row r="3" spans="1:27">
      <c r="A3" s="654" t="s">
        <v>962</v>
      </c>
    </row>
    <row r="4" spans="1:27" ht="15">
      <c r="A4" s="430" t="s">
        <v>252</v>
      </c>
      <c r="B4" s="427" t="s">
        <v>751</v>
      </c>
      <c r="C4" s="427" t="s">
        <v>119</v>
      </c>
      <c r="D4" s="652" t="s">
        <v>752</v>
      </c>
      <c r="E4" s="427" t="s">
        <v>753</v>
      </c>
      <c r="F4" s="427" t="s">
        <v>754</v>
      </c>
      <c r="G4" s="427" t="s">
        <v>755</v>
      </c>
      <c r="H4" s="427" t="s">
        <v>756</v>
      </c>
      <c r="I4" s="427" t="s">
        <v>757</v>
      </c>
      <c r="J4" s="427" t="s">
        <v>758</v>
      </c>
      <c r="K4" s="427" t="s">
        <v>759</v>
      </c>
      <c r="L4" s="427" t="s">
        <v>760</v>
      </c>
      <c r="M4" s="427" t="s">
        <v>761</v>
      </c>
      <c r="N4" s="427" t="s">
        <v>115</v>
      </c>
      <c r="O4" s="674" t="s">
        <v>968</v>
      </c>
      <c r="P4" s="675"/>
    </row>
    <row r="5" spans="1:27" ht="15">
      <c r="A5" s="439" t="s">
        <v>267</v>
      </c>
      <c r="B5" s="427"/>
      <c r="C5" s="427"/>
      <c r="D5" s="431"/>
      <c r="E5" s="427"/>
      <c r="F5" s="427"/>
      <c r="G5" s="427"/>
      <c r="H5" s="427"/>
      <c r="I5" s="427"/>
      <c r="J5" s="427"/>
      <c r="K5" s="427"/>
      <c r="L5" s="427"/>
      <c r="M5" s="427"/>
      <c r="N5" s="427"/>
    </row>
    <row r="6" spans="1:27" ht="16.5">
      <c r="A6" s="422" t="s">
        <v>763</v>
      </c>
      <c r="B6" s="423">
        <f>4.683268+0.0845596</f>
        <v>4.7678276000000004</v>
      </c>
      <c r="C6" s="423">
        <v>6.67727586</v>
      </c>
      <c r="D6" s="424">
        <v>6.5120832200000009</v>
      </c>
      <c r="E6" s="423">
        <v>6.7975827000000013</v>
      </c>
      <c r="F6" s="423">
        <v>6.47425316</v>
      </c>
      <c r="G6" s="423">
        <v>6.4092702099999999</v>
      </c>
      <c r="H6" s="423">
        <v>6.8755923500000007</v>
      </c>
      <c r="I6" s="423">
        <v>6.2436281599999992</v>
      </c>
      <c r="J6" s="423">
        <v>6.1139836500000007</v>
      </c>
      <c r="K6" s="423">
        <v>5.6933639999999999</v>
      </c>
      <c r="L6" s="423">
        <v>5.7884406999999998</v>
      </c>
      <c r="M6" s="423">
        <v>6.5582149999999997</v>
      </c>
      <c r="N6" s="423">
        <f>SUM(B6:M6)</f>
        <v>74.911516610000007</v>
      </c>
      <c r="O6" s="721">
        <f>B6/(1-'F1.3'!$J$12)</f>
        <v>4.7640989233097182</v>
      </c>
      <c r="P6" s="721">
        <f>C6/(1-'F1.3'!$J$12)</f>
        <v>6.6720539004531059</v>
      </c>
      <c r="Q6" s="721">
        <f>D6/(1-'F1.3'!$J$12)</f>
        <v>6.5069904492572856</v>
      </c>
      <c r="R6" s="721">
        <f>E6/(1-'F1.3'!$J$12)</f>
        <v>6.792266654561665</v>
      </c>
      <c r="S6" s="721">
        <f>F6/(1-'F1.3'!$J$12)</f>
        <v>6.4691899742328225</v>
      </c>
      <c r="T6" s="721">
        <f>G6/(1-'F1.3'!$J$12)</f>
        <v>6.4042578441095586</v>
      </c>
      <c r="U6" s="721">
        <f>H6/(1-'F1.3'!$J$12)</f>
        <v>6.8702152971620745</v>
      </c>
      <c r="V6" s="721">
        <f>I6/(1-'F1.3'!$J$12)</f>
        <v>6.2387453343745554</v>
      </c>
      <c r="W6" s="721">
        <f>J6/(1-'F1.3'!$J$12)</f>
        <v>6.1092022127851742</v>
      </c>
      <c r="X6" s="721">
        <f>K6/(1-'F1.3'!$J$12)</f>
        <v>5.6889115081280019</v>
      </c>
      <c r="Y6" s="721">
        <f>L6/(1-'F1.3'!$J$12)</f>
        <v>5.7839138534522831</v>
      </c>
      <c r="Z6" s="721">
        <f>M6/(1-'F1.3'!$J$12)</f>
        <v>6.5530861519266432</v>
      </c>
      <c r="AA6" s="784">
        <f>SUM(O6:Z6)</f>
        <v>74.852932103752906</v>
      </c>
    </row>
    <row r="7" spans="1:27" ht="16.5">
      <c r="A7" s="422" t="s">
        <v>764</v>
      </c>
      <c r="B7" s="423">
        <v>5.5899999999999998E-2</v>
      </c>
      <c r="C7" s="423">
        <v>1.4E-2</v>
      </c>
      <c r="D7" s="423">
        <v>4.1221999999999995E-3</v>
      </c>
      <c r="E7" s="423">
        <v>4.0010000000000002E-3</v>
      </c>
      <c r="F7" s="423">
        <v>4.3241999999999994E-3</v>
      </c>
      <c r="G7" s="423">
        <v>4.6877999999999998E-3</v>
      </c>
      <c r="H7" s="423">
        <v>5.8593999999999999E-3</v>
      </c>
      <c r="I7" s="423">
        <v>5.1726000000000003E-3</v>
      </c>
      <c r="J7" s="423">
        <v>4.8089999999999999E-3</v>
      </c>
      <c r="K7" s="423">
        <v>3.2799999999999999E-3</v>
      </c>
      <c r="L7" s="423">
        <v>0</v>
      </c>
      <c r="M7" s="423">
        <v>0</v>
      </c>
      <c r="N7" s="423">
        <f t="shared" ref="N7:N13" si="0">SUM(B7:M7)</f>
        <v>0.10615620000000002</v>
      </c>
      <c r="O7" s="721">
        <f>B7/(1-'F1.3'!$J$12)</f>
        <v>5.5856283438816712E-2</v>
      </c>
      <c r="P7" s="721">
        <f>C7/(1-'F1.3'!$J$12)</f>
        <v>1.3989051308469303E-2</v>
      </c>
      <c r="Q7" s="721">
        <f>D7/(1-'F1.3'!$J$12)</f>
        <v>4.1189762359837255E-3</v>
      </c>
      <c r="R7" s="721">
        <f>E7/(1-'F1.3'!$J$12)</f>
        <v>3.9978710203704059E-3</v>
      </c>
      <c r="S7" s="721">
        <f>F7/(1-'F1.3'!$J$12)</f>
        <v>4.3208182620059253E-3</v>
      </c>
      <c r="T7" s="721">
        <f>G7/(1-'F1.3'!$J$12)</f>
        <v>4.6841339088458849E-3</v>
      </c>
      <c r="U7" s="721">
        <f>H7/(1-'F1.3'!$J$12)</f>
        <v>5.8548176597746446E-3</v>
      </c>
      <c r="V7" s="721">
        <f>I7/(1-'F1.3'!$J$12)</f>
        <v>5.1685547712991657E-3</v>
      </c>
      <c r="W7" s="721">
        <f>J7/(1-'F1.3'!$J$12)</f>
        <v>4.8052391244592053E-3</v>
      </c>
      <c r="X7" s="721">
        <f>K7/(1-'F1.3'!$J$12)</f>
        <v>3.2774348779842366E-3</v>
      </c>
      <c r="Y7" s="721">
        <f>L7/(1-'F1.3'!$J$12)</f>
        <v>0</v>
      </c>
      <c r="Z7" s="721">
        <f>M7/(1-'F1.3'!$J$12)</f>
        <v>0</v>
      </c>
      <c r="AA7" s="784">
        <f>SUM(O7:Z7)</f>
        <v>0.10607318060800922</v>
      </c>
    </row>
    <row r="8" spans="1:27" ht="16.5">
      <c r="A8" s="440" t="s">
        <v>270</v>
      </c>
      <c r="B8" s="423"/>
      <c r="C8" s="423"/>
      <c r="D8" s="423"/>
      <c r="E8" s="423"/>
      <c r="F8" s="423"/>
      <c r="G8" s="423"/>
      <c r="H8" s="423"/>
      <c r="I8" s="423"/>
      <c r="J8" s="423"/>
      <c r="K8" s="423"/>
      <c r="L8" s="423"/>
      <c r="M8" s="423"/>
      <c r="N8" s="423"/>
      <c r="O8" s="721">
        <f>B8/(1-'F1.3'!$J$12)</f>
        <v>0</v>
      </c>
      <c r="P8" s="721">
        <f>C8/(1-'F1.3'!$J$12)</f>
        <v>0</v>
      </c>
      <c r="Q8" s="721">
        <f>D8/(1-'F1.3'!$J$12)</f>
        <v>0</v>
      </c>
      <c r="R8" s="721">
        <f>E8/(1-'F1.3'!$J$12)</f>
        <v>0</v>
      </c>
      <c r="S8" s="721">
        <f>F8/(1-'F1.3'!$J$12)</f>
        <v>0</v>
      </c>
      <c r="T8" s="721">
        <f>G8/(1-'F1.3'!$J$12)</f>
        <v>0</v>
      </c>
      <c r="U8" s="721">
        <f>H8/(1-'F1.3'!$J$12)</f>
        <v>0</v>
      </c>
      <c r="V8" s="721">
        <f>I8/(1-'F1.3'!$J$12)</f>
        <v>0</v>
      </c>
      <c r="W8" s="721">
        <f>J8/(1-'F1.3'!$J$12)</f>
        <v>0</v>
      </c>
      <c r="X8" s="721">
        <f>K8/(1-'F1.3'!$J$12)</f>
        <v>0</v>
      </c>
      <c r="Y8" s="721">
        <f>L8/(1-'F1.3'!$J$12)</f>
        <v>0</v>
      </c>
      <c r="Z8" s="721">
        <f>M8/(1-'F1.3'!$J$12)</f>
        <v>0</v>
      </c>
      <c r="AA8" s="785"/>
    </row>
    <row r="9" spans="1:27" ht="16.5">
      <c r="A9" s="422" t="s">
        <v>765</v>
      </c>
      <c r="B9" s="423">
        <v>7.1019999999999998E-3</v>
      </c>
      <c r="C9" s="423">
        <v>9.3702000000000004E-3</v>
      </c>
      <c r="D9" s="423">
        <v>9.2029000000000017E-3</v>
      </c>
      <c r="E9" s="423">
        <v>9.6301000000000008E-3</v>
      </c>
      <c r="F9" s="423">
        <v>7.098199999999999E-3</v>
      </c>
      <c r="G9" s="423">
        <v>6.7862E-3</v>
      </c>
      <c r="H9" s="423">
        <v>1.4820799999999999E-2</v>
      </c>
      <c r="I9" s="423">
        <v>9.5257000000000015E-3</v>
      </c>
      <c r="J9" s="423">
        <v>1.1631200000000001E-2</v>
      </c>
      <c r="K9" s="423">
        <v>8.8672999999999998E-3</v>
      </c>
      <c r="L9" s="423">
        <v>8.1144000000000008E-3</v>
      </c>
      <c r="M9" s="423">
        <v>9.9720999999999994E-3</v>
      </c>
      <c r="N9" s="423">
        <f t="shared" si="0"/>
        <v>0.11212109999999999</v>
      </c>
      <c r="O9" s="721">
        <f>B9/(1-'F1.3'!$J$12)</f>
        <v>7.0964458851963562E-3</v>
      </c>
      <c r="P9" s="721">
        <f>C9/(1-'F1.3'!$J$12)</f>
        <v>9.3628720407585055E-3</v>
      </c>
      <c r="Q9" s="721">
        <f>D9/(1-'F1.3'!$J$12)</f>
        <v>9.1957028776222978E-3</v>
      </c>
      <c r="R9" s="721">
        <f>E9/(1-'F1.3'!$J$12)</f>
        <v>9.6225687861207325E-3</v>
      </c>
      <c r="S9" s="721">
        <f>F9/(1-'F1.3'!$J$12)</f>
        <v>7.0926488569840566E-3</v>
      </c>
      <c r="T9" s="721">
        <f>G9/(1-'F1.3'!$J$12)</f>
        <v>6.7808928563953133E-3</v>
      </c>
      <c r="U9" s="721">
        <f>H9/(1-'F1.3'!$J$12)</f>
        <v>1.4809209402325845E-2</v>
      </c>
      <c r="V9" s="721">
        <f>I9/(1-'F1.3'!$J$12)</f>
        <v>9.5182504320775758E-3</v>
      </c>
      <c r="W9" s="721">
        <f>J9/(1-'F1.3'!$J$12)</f>
        <v>1.1622103827076298E-2</v>
      </c>
      <c r="X9" s="721">
        <f>K9/(1-'F1.3'!$J$12)</f>
        <v>8.8603653333992755E-3</v>
      </c>
      <c r="Y9" s="721">
        <f>L9/(1-'F1.3'!$J$12)</f>
        <v>8.108054138388809E-3</v>
      </c>
      <c r="Z9" s="721">
        <f>M9/(1-'F1.3'!$J$12)</f>
        <v>9.9643013252276227E-3</v>
      </c>
      <c r="AA9" s="784">
        <f>SUM(O9:Z9)</f>
        <v>0.11203341576157266</v>
      </c>
    </row>
    <row r="10" spans="1:27" ht="16.5">
      <c r="A10" s="422" t="s">
        <v>766</v>
      </c>
      <c r="B10" s="423">
        <v>1.2064E-2</v>
      </c>
      <c r="C10" s="423">
        <v>2.0576000000000001E-2</v>
      </c>
      <c r="D10" s="423">
        <v>2.4630599999999999E-2</v>
      </c>
      <c r="E10" s="423">
        <v>2.8840099999999997E-2</v>
      </c>
      <c r="F10" s="423">
        <v>2.7027900000000001E-2</v>
      </c>
      <c r="G10" s="423">
        <v>3.9233999999999998E-2</v>
      </c>
      <c r="H10" s="423">
        <v>2.3538400000000001E-2</v>
      </c>
      <c r="I10" s="423">
        <v>2.2342500000000001E-2</v>
      </c>
      <c r="J10" s="423">
        <v>2.5447999999999998E-2</v>
      </c>
      <c r="K10" s="423">
        <v>1.8248500000000001E-2</v>
      </c>
      <c r="L10" s="423">
        <v>2.3821599999999998E-2</v>
      </c>
      <c r="M10" s="423">
        <v>3.0801400000000003E-2</v>
      </c>
      <c r="N10" s="423">
        <f t="shared" si="0"/>
        <v>0.29657299999999998</v>
      </c>
      <c r="O10" s="721">
        <f>B10/(1-'F1.3'!$J$12)</f>
        <v>1.2054565356098119E-2</v>
      </c>
      <c r="P10" s="721">
        <f>C10/(1-'F1.3'!$J$12)</f>
        <v>2.0559908551647455E-2</v>
      </c>
      <c r="Q10" s="721">
        <f>D10/(1-'F1.3'!$J$12)</f>
        <v>2.4611337654170284E-2</v>
      </c>
      <c r="R10" s="721">
        <f>E10/(1-'F1.3'!$J$12)</f>
        <v>2.881754561724182E-2</v>
      </c>
      <c r="S10" s="721">
        <f>F10/(1-'F1.3'!$J$12)</f>
        <v>2.7006762847155533E-2</v>
      </c>
      <c r="T10" s="721">
        <f>G10/(1-'F1.3'!$J$12)</f>
        <v>3.9203317074034613E-2</v>
      </c>
      <c r="U10" s="721">
        <f>H10/(1-'F1.3'!$J$12)</f>
        <v>2.3519991808519561E-2</v>
      </c>
      <c r="V10" s="721">
        <f>I10/(1-'F1.3'!$J$12)</f>
        <v>2.2325027061391101E-2</v>
      </c>
      <c r="W10" s="721">
        <f>J10/(1-'F1.3'!$J$12)</f>
        <v>2.5428098406994771E-2</v>
      </c>
      <c r="X10" s="721">
        <f>K10/(1-'F1.3'!$J$12)</f>
        <v>1.8234228771614434E-2</v>
      </c>
      <c r="Y10" s="721">
        <f>L10/(1-'F1.3'!$J$12)</f>
        <v>2.3802970332130882E-2</v>
      </c>
      <c r="Z10" s="721">
        <f>M10/(1-'F1.3'!$J$12)</f>
        <v>3.0777311783763316E-2</v>
      </c>
      <c r="AA10" s="784">
        <f t="shared" ref="AA10:AA13" si="1">SUM(O10:Z10)</f>
        <v>0.29634106526476189</v>
      </c>
    </row>
    <row r="11" spans="1:27" ht="16.5">
      <c r="A11" s="422" t="s">
        <v>790</v>
      </c>
      <c r="B11" s="423">
        <v>0</v>
      </c>
      <c r="C11" s="423">
        <v>0</v>
      </c>
      <c r="D11" s="423">
        <v>0</v>
      </c>
      <c r="E11" s="423">
        <v>0</v>
      </c>
      <c r="F11" s="423">
        <v>0</v>
      </c>
      <c r="G11" s="423">
        <v>0</v>
      </c>
      <c r="H11" s="423">
        <v>0</v>
      </c>
      <c r="I11" s="423">
        <v>0</v>
      </c>
      <c r="J11" s="423">
        <v>0</v>
      </c>
      <c r="K11" s="423">
        <v>0</v>
      </c>
      <c r="L11" s="423">
        <v>0</v>
      </c>
      <c r="M11" s="423">
        <v>0</v>
      </c>
      <c r="N11" s="423">
        <f t="shared" si="0"/>
        <v>0</v>
      </c>
      <c r="O11" s="721">
        <f>B11/(1-'F1.3'!$J$12)</f>
        <v>0</v>
      </c>
      <c r="P11" s="721">
        <f>C11/(1-'F1.3'!$J$12)</f>
        <v>0</v>
      </c>
      <c r="Q11" s="721">
        <f>D11/(1-'F1.3'!$J$12)</f>
        <v>0</v>
      </c>
      <c r="R11" s="721">
        <f>E11/(1-'F1.3'!$J$12)</f>
        <v>0</v>
      </c>
      <c r="S11" s="721">
        <f>F11/(1-'F1.3'!$J$12)</f>
        <v>0</v>
      </c>
      <c r="T11" s="721">
        <f>G11/(1-'F1.3'!$J$12)</f>
        <v>0</v>
      </c>
      <c r="U11" s="721">
        <f>H11/(1-'F1.3'!$J$12)</f>
        <v>0</v>
      </c>
      <c r="V11" s="721">
        <f>I11/(1-'F1.3'!$J$12)</f>
        <v>0</v>
      </c>
      <c r="W11" s="721">
        <f>J11/(1-'F1.3'!$J$12)</f>
        <v>0</v>
      </c>
      <c r="X11" s="721">
        <f>K11/(1-'F1.3'!$J$12)</f>
        <v>0</v>
      </c>
      <c r="Y11" s="721">
        <f>L11/(1-'F1.3'!$J$12)</f>
        <v>0</v>
      </c>
      <c r="Z11" s="721">
        <f>M11/(1-'F1.3'!$J$12)</f>
        <v>0</v>
      </c>
      <c r="AA11" s="784">
        <f t="shared" si="1"/>
        <v>0</v>
      </c>
    </row>
    <row r="12" spans="1:27" ht="16.5">
      <c r="A12" s="425" t="s">
        <v>767</v>
      </c>
      <c r="B12" s="423">
        <v>1.5436E-2</v>
      </c>
      <c r="C12" s="423">
        <v>2.2708199999999998E-2</v>
      </c>
      <c r="D12" s="423">
        <v>2.2202599999999999E-2</v>
      </c>
      <c r="E12" s="423">
        <v>2.3484100000000001E-2</v>
      </c>
      <c r="F12" s="423">
        <v>2.4043399999999999E-2</v>
      </c>
      <c r="G12" s="423">
        <v>2.22341E-2</v>
      </c>
      <c r="H12" s="423">
        <v>2.6201899999999993E-2</v>
      </c>
      <c r="I12" s="423">
        <v>2.5445099999999998E-2</v>
      </c>
      <c r="J12" s="423">
        <v>2.6051200000000004E-2</v>
      </c>
      <c r="K12" s="423">
        <v>2.6680999999999996E-2</v>
      </c>
      <c r="L12" s="423">
        <v>2.52544E-2</v>
      </c>
      <c r="M12" s="423">
        <v>2.9755500000000001E-2</v>
      </c>
      <c r="N12" s="423">
        <f t="shared" si="0"/>
        <v>0.28949749999999996</v>
      </c>
      <c r="O12" s="721">
        <f>B12/(1-'F1.3'!$J$12)</f>
        <v>1.5423928285538012E-2</v>
      </c>
      <c r="P12" s="721">
        <f>C12/(1-'F1.3'!$J$12)</f>
        <v>2.2690441065927328E-2</v>
      </c>
      <c r="Q12" s="721">
        <f>D12/(1-'F1.3'!$J$12)</f>
        <v>2.2185236470101465E-2</v>
      </c>
      <c r="R12" s="721">
        <f>E12/(1-'F1.3'!$J$12)</f>
        <v>2.3465734273801712E-2</v>
      </c>
      <c r="S12" s="721">
        <f>F12/(1-'F1.3'!$J$12)</f>
        <v>2.4024596873575058E-2</v>
      </c>
      <c r="T12" s="721">
        <f>G12/(1-'F1.3'!$J$12)</f>
        <v>2.2216711835545522E-2</v>
      </c>
      <c r="U12" s="721">
        <f>H12/(1-'F1.3'!$J$12)</f>
        <v>2.6181408819955839E-2</v>
      </c>
      <c r="V12" s="721">
        <f>I12/(1-'F1.3'!$J$12)</f>
        <v>2.5425200674938017E-2</v>
      </c>
      <c r="W12" s="721">
        <f>J12/(1-'F1.3'!$J$12)</f>
        <v>2.6030826674799681E-2</v>
      </c>
      <c r="X12" s="721">
        <f>K12/(1-'F1.3'!$J$12)</f>
        <v>2.6660134140090674E-2</v>
      </c>
      <c r="Y12" s="721">
        <f>L12/(1-'F1.3'!$J$12)</f>
        <v>2.5234649811757656E-2</v>
      </c>
      <c r="Z12" s="721">
        <f>M12/(1-'F1.3'!$J$12)</f>
        <v>2.9732229729225595E-2</v>
      </c>
      <c r="AA12" s="784">
        <f t="shared" si="1"/>
        <v>0.28927109865525658</v>
      </c>
    </row>
    <row r="13" spans="1:27" ht="16.5">
      <c r="A13" s="425" t="s">
        <v>768</v>
      </c>
      <c r="B13" s="423">
        <v>0.32678200000000002</v>
      </c>
      <c r="C13" s="423">
        <v>0.467524</v>
      </c>
      <c r="D13" s="423">
        <v>0.463868</v>
      </c>
      <c r="E13" s="423">
        <v>0.458482</v>
      </c>
      <c r="F13" s="423">
        <v>0.50178400000000001</v>
      </c>
      <c r="G13" s="423">
        <v>0.56285936999999997</v>
      </c>
      <c r="H13" s="423">
        <v>0.56876599999999999</v>
      </c>
      <c r="I13" s="423">
        <v>0.54174800000000001</v>
      </c>
      <c r="J13" s="423">
        <v>0.55974599999999997</v>
      </c>
      <c r="K13" s="423">
        <v>0.54349999999999998</v>
      </c>
      <c r="L13" s="423">
        <v>0.54962200000000005</v>
      </c>
      <c r="M13" s="423">
        <v>0.61251800000000001</v>
      </c>
      <c r="N13" s="423">
        <f t="shared" si="0"/>
        <v>6.1571993699999998</v>
      </c>
      <c r="O13" s="721">
        <f>B13/(1-'F1.3'!$J$12)</f>
        <v>0.32652644033458683</v>
      </c>
      <c r="P13" s="721">
        <f>C13/(1-'F1.3'!$J$12)</f>
        <v>0.46715837313862874</v>
      </c>
      <c r="Q13" s="721">
        <f>D13/(1-'F1.3'!$J$12)</f>
        <v>0.46350523231121704</v>
      </c>
      <c r="R13" s="721">
        <f>E13/(1-'F1.3'!$J$12)</f>
        <v>0.45812344442925879</v>
      </c>
      <c r="S13" s="721">
        <f>F13/(1-'F1.3'!$J$12)</f>
        <v>0.50139158012635432</v>
      </c>
      <c r="T13" s="721">
        <f>G13/(1-'F1.3'!$J$12)</f>
        <v>0.56241918617019337</v>
      </c>
      <c r="U13" s="721">
        <f>H13/(1-'F1.3'!$J$12)</f>
        <v>0.56832119689377514</v>
      </c>
      <c r="V13" s="721">
        <f>I13/(1-'F1.3'!$J$12)</f>
        <v>0.54132432630433058</v>
      </c>
      <c r="W13" s="721">
        <f>J13/(1-'F1.3'!$J$12)</f>
        <v>0.55930825097931847</v>
      </c>
      <c r="X13" s="721">
        <f>K13/(1-'F1.3'!$J$12)</f>
        <v>0.54307495615379042</v>
      </c>
      <c r="Y13" s="721">
        <f>L13/(1-'F1.3'!$J$12)</f>
        <v>0.54919216844739394</v>
      </c>
      <c r="Z13" s="721">
        <f>M13/(1-'F1.3'!$J$12)</f>
        <v>0.61203898066864293</v>
      </c>
      <c r="AA13" s="784">
        <f t="shared" si="1"/>
        <v>6.1523841359574902</v>
      </c>
    </row>
    <row r="14" spans="1:27" ht="15">
      <c r="A14" s="426" t="s">
        <v>115</v>
      </c>
      <c r="B14" s="427">
        <f t="shared" ref="B14:N14" si="2">SUM(B6:B13)</f>
        <v>5.1851115999999999</v>
      </c>
      <c r="C14" s="427">
        <f t="shared" si="2"/>
        <v>7.2114542600000009</v>
      </c>
      <c r="D14" s="427">
        <f t="shared" si="2"/>
        <v>7.036109520000001</v>
      </c>
      <c r="E14" s="427">
        <f t="shared" si="2"/>
        <v>7.3220200000000011</v>
      </c>
      <c r="F14" s="427">
        <f t="shared" si="2"/>
        <v>7.0385308599999998</v>
      </c>
      <c r="G14" s="427">
        <f t="shared" si="2"/>
        <v>7.0450716800000004</v>
      </c>
      <c r="H14" s="427">
        <f t="shared" si="2"/>
        <v>7.5147788500000008</v>
      </c>
      <c r="I14" s="427">
        <f t="shared" si="2"/>
        <v>6.8478620599999989</v>
      </c>
      <c r="J14" s="427">
        <f t="shared" si="2"/>
        <v>6.7416690500000005</v>
      </c>
      <c r="K14" s="427">
        <f t="shared" si="2"/>
        <v>6.2939408000000006</v>
      </c>
      <c r="L14" s="427">
        <f t="shared" si="2"/>
        <v>6.3952530999999997</v>
      </c>
      <c r="M14" s="427">
        <f t="shared" si="2"/>
        <v>7.241261999999999</v>
      </c>
      <c r="N14" s="427">
        <f t="shared" si="2"/>
        <v>81.873063779999995</v>
      </c>
      <c r="O14" s="786">
        <f>SUM(O6:O13)</f>
        <v>5.1810565866099543</v>
      </c>
      <c r="P14" s="786">
        <f t="shared" ref="P14:AA14" si="3">SUM(P6:P13)</f>
        <v>7.2058145465585373</v>
      </c>
      <c r="Q14" s="786">
        <f t="shared" si="3"/>
        <v>7.0306069348063804</v>
      </c>
      <c r="R14" s="786">
        <f t="shared" si="3"/>
        <v>7.3162938186884592</v>
      </c>
      <c r="S14" s="786">
        <f t="shared" si="3"/>
        <v>7.0330263811988969</v>
      </c>
      <c r="T14" s="786">
        <f t="shared" si="3"/>
        <v>7.0395620859545724</v>
      </c>
      <c r="U14" s="786">
        <f t="shared" si="3"/>
        <v>7.5089019217464257</v>
      </c>
      <c r="V14" s="786">
        <f t="shared" si="3"/>
        <v>6.8425066936185921</v>
      </c>
      <c r="W14" s="786">
        <f t="shared" si="3"/>
        <v>6.7363967317978224</v>
      </c>
      <c r="X14" s="786">
        <f t="shared" si="3"/>
        <v>6.2890186274048814</v>
      </c>
      <c r="Y14" s="786">
        <f t="shared" si="3"/>
        <v>6.390251696181954</v>
      </c>
      <c r="Z14" s="786">
        <f t="shared" si="3"/>
        <v>7.2355989754335042</v>
      </c>
      <c r="AA14" s="786">
        <f t="shared" si="3"/>
        <v>81.809034999999994</v>
      </c>
    </row>
    <row r="16" spans="1:27">
      <c r="A16" s="1583" t="s">
        <v>963</v>
      </c>
      <c r="B16" s="1583"/>
      <c r="C16" s="1583"/>
      <c r="D16" s="1583"/>
    </row>
    <row r="17" spans="1:27" ht="15">
      <c r="A17" s="430" t="s">
        <v>252</v>
      </c>
      <c r="B17" s="427" t="s">
        <v>751</v>
      </c>
      <c r="C17" s="427" t="s">
        <v>119</v>
      </c>
      <c r="D17" s="652" t="s">
        <v>752</v>
      </c>
      <c r="E17" s="427" t="s">
        <v>753</v>
      </c>
      <c r="F17" s="427" t="s">
        <v>754</v>
      </c>
      <c r="G17" s="427" t="s">
        <v>755</v>
      </c>
      <c r="H17" s="427" t="s">
        <v>756</v>
      </c>
      <c r="I17" s="427" t="s">
        <v>757</v>
      </c>
      <c r="J17" s="427" t="s">
        <v>758</v>
      </c>
      <c r="K17" s="427" t="s">
        <v>759</v>
      </c>
      <c r="L17" s="427" t="s">
        <v>760</v>
      </c>
      <c r="M17" s="427" t="s">
        <v>761</v>
      </c>
      <c r="N17" s="427" t="s">
        <v>115</v>
      </c>
      <c r="O17" s="674" t="s">
        <v>968</v>
      </c>
      <c r="P17" s="675"/>
    </row>
    <row r="18" spans="1:27" ht="16.5">
      <c r="A18" s="439" t="s">
        <v>267</v>
      </c>
      <c r="B18" s="655"/>
      <c r="C18" s="655"/>
      <c r="D18" s="655"/>
      <c r="E18" s="655"/>
      <c r="F18" s="655"/>
      <c r="G18" s="655"/>
      <c r="H18" s="655"/>
      <c r="I18" s="655"/>
      <c r="J18" s="655"/>
      <c r="K18" s="655"/>
      <c r="L18" s="655"/>
      <c r="M18" s="655"/>
      <c r="N18" s="655"/>
      <c r="P18" s="653"/>
    </row>
    <row r="19" spans="1:27" ht="16.5">
      <c r="A19" s="422" t="s">
        <v>763</v>
      </c>
      <c r="B19" s="656">
        <f>(B6/22*30)*1.01+0.5</f>
        <v>7.0665989218181826</v>
      </c>
      <c r="C19" s="656">
        <f>(C6*1.01)+0.5</f>
        <v>7.2440486185999999</v>
      </c>
      <c r="D19" s="656">
        <f t="shared" ref="D19:M19" si="4">(D6*1.01)+0.5</f>
        <v>7.0772040522000008</v>
      </c>
      <c r="E19" s="656">
        <f t="shared" si="4"/>
        <v>7.365558527000001</v>
      </c>
      <c r="F19" s="656">
        <f t="shared" si="4"/>
        <v>7.0389956916000003</v>
      </c>
      <c r="G19" s="656">
        <f t="shared" si="4"/>
        <v>6.9733629120999998</v>
      </c>
      <c r="H19" s="656">
        <f t="shared" si="4"/>
        <v>7.4443482735000011</v>
      </c>
      <c r="I19" s="656">
        <f t="shared" si="4"/>
        <v>6.8060644415999993</v>
      </c>
      <c r="J19" s="656">
        <f t="shared" si="4"/>
        <v>6.6751234865000004</v>
      </c>
      <c r="K19" s="656">
        <f t="shared" si="4"/>
        <v>6.2502976400000003</v>
      </c>
      <c r="L19" s="656">
        <f t="shared" si="4"/>
        <v>6.3463251070000002</v>
      </c>
      <c r="M19" s="656">
        <f t="shared" si="4"/>
        <v>7.1237971499999997</v>
      </c>
      <c r="N19" s="658">
        <f>SUM(B19:M19)</f>
        <v>83.411724821918185</v>
      </c>
      <c r="O19" s="723">
        <f>B19/(1-'F1.3'!$J$19)</f>
        <v>7.1121164672083159</v>
      </c>
      <c r="P19" s="723">
        <f>C19/(1-'F1.3'!$J$19)</f>
        <v>7.2907091572061189</v>
      </c>
      <c r="Q19" s="723">
        <f>D19/(1-'F1.3'!$J$19)</f>
        <v>7.1227899076086958</v>
      </c>
      <c r="R19" s="723">
        <f>E19/(1-'F1.3'!$J$19)</f>
        <v>7.4130017381239943</v>
      </c>
      <c r="S19" s="723">
        <f>F19/(1-'F1.3'!$J$19)</f>
        <v>7.0843354384057973</v>
      </c>
      <c r="T19" s="723">
        <f>G19/(1-'F1.3'!$J$19)</f>
        <v>7.018279903482286</v>
      </c>
      <c r="U19" s="723">
        <f>H19/(1-'F1.3'!$J$19)</f>
        <v>7.492298987016909</v>
      </c>
      <c r="V19" s="723">
        <f>I19/(1-'F1.3'!$J$19)</f>
        <v>6.8499038260869556</v>
      </c>
      <c r="W19" s="723">
        <f>J19/(1-'F1.3'!$J$19)</f>
        <v>6.7181194509863129</v>
      </c>
      <c r="X19" s="723">
        <f>K19/(1-'F1.3'!$J$19)</f>
        <v>6.2905572061191624</v>
      </c>
      <c r="Y19" s="723">
        <f>L19/(1-'F1.3'!$J$19)</f>
        <v>6.3872032075281799</v>
      </c>
      <c r="Z19" s="723">
        <f>M19/(1-'F1.3'!$J$19)</f>
        <v>7.1696831219806754</v>
      </c>
      <c r="AA19" s="787">
        <f>SUM(O19:Z19)</f>
        <v>83.948998411753394</v>
      </c>
    </row>
    <row r="20" spans="1:27" ht="16.5">
      <c r="A20" s="422" t="s">
        <v>764</v>
      </c>
      <c r="B20" s="656">
        <f>(B7/22*30)+0.3</f>
        <v>0.37622727272727269</v>
      </c>
      <c r="C20" s="656">
        <f>(C7)+0.3</f>
        <v>0.314</v>
      </c>
      <c r="D20" s="656">
        <f t="shared" ref="D20:M20" si="5">(D7)+0.3</f>
        <v>0.30412220000000001</v>
      </c>
      <c r="E20" s="656">
        <f t="shared" si="5"/>
        <v>0.30400099999999997</v>
      </c>
      <c r="F20" s="656">
        <f t="shared" si="5"/>
        <v>0.30432419999999999</v>
      </c>
      <c r="G20" s="656">
        <f t="shared" si="5"/>
        <v>0.30468780000000001</v>
      </c>
      <c r="H20" s="656">
        <f t="shared" si="5"/>
        <v>0.3058594</v>
      </c>
      <c r="I20" s="656">
        <f t="shared" si="5"/>
        <v>0.30517260000000002</v>
      </c>
      <c r="J20" s="656">
        <f t="shared" si="5"/>
        <v>0.304809</v>
      </c>
      <c r="K20" s="656">
        <f t="shared" si="5"/>
        <v>0.30327999999999999</v>
      </c>
      <c r="L20" s="656">
        <f t="shared" si="5"/>
        <v>0.3</v>
      </c>
      <c r="M20" s="656">
        <f t="shared" si="5"/>
        <v>0.3</v>
      </c>
      <c r="N20" s="658">
        <f>SUM(B20:M20)</f>
        <v>3.7264834727272724</v>
      </c>
      <c r="O20" s="723">
        <f>B20/(1-'F1.3'!$J$19)</f>
        <v>0.37865063680281064</v>
      </c>
      <c r="P20" s="723">
        <f>C20/(1-'F1.3'!$J$19)</f>
        <v>0.31602254428341386</v>
      </c>
      <c r="Q20" s="723">
        <f>D20/(1-'F1.3'!$J$19)</f>
        <v>0.30608111916264091</v>
      </c>
      <c r="R20" s="723">
        <f>E20/(1-'F1.3'!$J$19)</f>
        <v>0.30595913848631234</v>
      </c>
      <c r="S20" s="723">
        <f>F20/(1-'F1.3'!$J$19)</f>
        <v>0.30628442028985503</v>
      </c>
      <c r="T20" s="723">
        <f>G20/(1-'F1.3'!$J$19)</f>
        <v>0.30665036231884057</v>
      </c>
      <c r="U20" s="723">
        <f>H20/(1-'F1.3'!$J$19)</f>
        <v>0.30782950885668275</v>
      </c>
      <c r="V20" s="723">
        <f>I20/(1-'F1.3'!$J$19)</f>
        <v>0.30713828502415458</v>
      </c>
      <c r="W20" s="723">
        <f>J20/(1-'F1.3'!$J$19)</f>
        <v>0.30677234299516909</v>
      </c>
      <c r="X20" s="723">
        <f>K20/(1-'F1.3'!$J$19)</f>
        <v>0.3052334943639291</v>
      </c>
      <c r="Y20" s="723">
        <f>L20/(1-'F1.3'!$J$19)</f>
        <v>0.30193236714975841</v>
      </c>
      <c r="Z20" s="723">
        <f>M20/(1-'F1.3'!$J$19)</f>
        <v>0.30193236714975841</v>
      </c>
      <c r="AA20" s="787">
        <f>SUM(O20:Z20)</f>
        <v>3.7504865868833264</v>
      </c>
    </row>
    <row r="21" spans="1:27" ht="16.5">
      <c r="A21" s="440" t="s">
        <v>270</v>
      </c>
      <c r="B21" s="655"/>
      <c r="C21" s="655"/>
      <c r="D21" s="655"/>
      <c r="E21" s="655"/>
      <c r="F21" s="655"/>
      <c r="G21" s="655"/>
      <c r="H21" s="655"/>
      <c r="I21" s="655"/>
      <c r="J21" s="655"/>
      <c r="K21" s="655"/>
      <c r="L21" s="655"/>
      <c r="M21" s="655"/>
      <c r="N21" s="659"/>
      <c r="O21" s="720"/>
      <c r="P21" s="720"/>
      <c r="Q21" s="720"/>
      <c r="R21" s="720"/>
      <c r="S21" s="720"/>
      <c r="T21" s="720"/>
      <c r="U21" s="720"/>
      <c r="V21" s="720"/>
      <c r="W21" s="720"/>
      <c r="X21" s="720"/>
      <c r="Y21" s="720"/>
      <c r="Z21" s="720"/>
      <c r="AA21" s="787">
        <f t="shared" ref="AA21:AA26" si="6">SUM(O21:Z21)</f>
        <v>0</v>
      </c>
    </row>
    <row r="22" spans="1:27" ht="16.5">
      <c r="A22" s="676" t="s">
        <v>787</v>
      </c>
      <c r="B22" s="655"/>
      <c r="C22" s="655"/>
      <c r="D22" s="655"/>
      <c r="E22" s="655"/>
      <c r="F22" s="655"/>
      <c r="G22" s="655"/>
      <c r="H22" s="655"/>
      <c r="I22" s="655"/>
      <c r="J22" s="655"/>
      <c r="K22" s="655"/>
      <c r="L22" s="655"/>
      <c r="M22" s="655"/>
      <c r="N22" s="659"/>
      <c r="O22" s="720"/>
      <c r="P22" s="720"/>
      <c r="Q22" s="720"/>
      <c r="R22" s="720"/>
      <c r="S22" s="720"/>
      <c r="T22" s="720"/>
      <c r="U22" s="720"/>
      <c r="V22" s="720"/>
      <c r="W22" s="720"/>
      <c r="X22" s="720"/>
      <c r="Y22" s="720"/>
      <c r="Z22" s="720"/>
      <c r="AA22" s="787">
        <f t="shared" si="6"/>
        <v>0</v>
      </c>
    </row>
    <row r="23" spans="1:27" ht="16.5">
      <c r="A23" s="422" t="s">
        <v>765</v>
      </c>
      <c r="B23" s="656">
        <f>(B9/22*30)*1.01</f>
        <v>9.7813909090909094E-3</v>
      </c>
      <c r="C23" s="657">
        <f>C9*1.01</f>
        <v>9.4639019999999997E-3</v>
      </c>
      <c r="D23" s="657">
        <f t="shared" ref="D23:M23" si="7">D9*1.01</f>
        <v>9.2949290000000021E-3</v>
      </c>
      <c r="E23" s="657">
        <f t="shared" si="7"/>
        <v>9.7264010000000008E-3</v>
      </c>
      <c r="F23" s="657">
        <f t="shared" si="7"/>
        <v>7.1691819999999988E-3</v>
      </c>
      <c r="G23" s="657">
        <f t="shared" si="7"/>
        <v>6.8540620000000002E-3</v>
      </c>
      <c r="H23" s="657">
        <f t="shared" si="7"/>
        <v>1.4969007999999999E-2</v>
      </c>
      <c r="I23" s="657">
        <f t="shared" si="7"/>
        <v>9.6209570000000012E-3</v>
      </c>
      <c r="J23" s="657">
        <f t="shared" si="7"/>
        <v>1.1747512000000002E-2</v>
      </c>
      <c r="K23" s="657">
        <f t="shared" si="7"/>
        <v>8.9559730000000008E-3</v>
      </c>
      <c r="L23" s="657">
        <f t="shared" si="7"/>
        <v>8.1955440000000008E-3</v>
      </c>
      <c r="M23" s="657">
        <f t="shared" si="7"/>
        <v>1.0071821E-2</v>
      </c>
      <c r="N23" s="658">
        <f>SUM(B23:M23)</f>
        <v>0.11585068190909091</v>
      </c>
      <c r="O23" s="723">
        <f>B23/(1-'F1.3'!$J$19)</f>
        <v>9.8443950373298204E-3</v>
      </c>
      <c r="P23" s="723">
        <f>C23/(1-'F1.3'!$J$19)</f>
        <v>9.5248611111111107E-3</v>
      </c>
      <c r="Q23" s="723">
        <f>D23/(1-'F1.3'!$J$19)</f>
        <v>9.3547997181964593E-3</v>
      </c>
      <c r="R23" s="723">
        <f>E23/(1-'F1.3'!$J$19)</f>
        <v>9.7890509259259267E-3</v>
      </c>
      <c r="S23" s="723">
        <f>F23/(1-'F1.3'!$J$19)</f>
        <v>7.2153603059581309E-3</v>
      </c>
      <c r="T23" s="723">
        <f>G23/(1-'F1.3'!$J$19)</f>
        <v>6.8982105475040257E-3</v>
      </c>
      <c r="U23" s="723">
        <f>H23/(1-'F1.3'!$J$19)</f>
        <v>1.5065426731078904E-2</v>
      </c>
      <c r="V23" s="723">
        <f>I23/(1-'F1.3'!$J$19)</f>
        <v>9.6829277375201292E-3</v>
      </c>
      <c r="W23" s="723">
        <f>J23/(1-'F1.3'!$J$19)</f>
        <v>1.1823180354267313E-2</v>
      </c>
      <c r="X23" s="723">
        <f>K23/(1-'F1.3'!$J$19)</f>
        <v>9.013660426731079E-3</v>
      </c>
      <c r="Y23" s="723">
        <f>L23/(1-'F1.3'!$J$19)</f>
        <v>8.2483333333333332E-3</v>
      </c>
      <c r="Z23" s="723">
        <f>M23/(1-'F1.3'!$J$19)</f>
        <v>1.0136695853462158E-2</v>
      </c>
      <c r="AA23" s="787">
        <f t="shared" si="6"/>
        <v>0.11659690208241839</v>
      </c>
    </row>
    <row r="24" spans="1:27" ht="16.5">
      <c r="A24" s="422" t="s">
        <v>766</v>
      </c>
      <c r="B24" s="656">
        <f>(B10/22*30)*1.01</f>
        <v>1.6615418181818178E-2</v>
      </c>
      <c r="C24" s="657">
        <f>C10*1.01</f>
        <v>2.078176E-2</v>
      </c>
      <c r="D24" s="657">
        <f t="shared" ref="D24:M24" si="8">D10*1.01</f>
        <v>2.4876906000000001E-2</v>
      </c>
      <c r="E24" s="657">
        <f t="shared" si="8"/>
        <v>2.9128500999999998E-2</v>
      </c>
      <c r="F24" s="657">
        <f t="shared" si="8"/>
        <v>2.7298179000000002E-2</v>
      </c>
      <c r="G24" s="657">
        <f t="shared" si="8"/>
        <v>3.9626339999999996E-2</v>
      </c>
      <c r="H24" s="657">
        <f t="shared" si="8"/>
        <v>2.3773784000000003E-2</v>
      </c>
      <c r="I24" s="657">
        <f t="shared" si="8"/>
        <v>2.2565925000000001E-2</v>
      </c>
      <c r="J24" s="657">
        <f t="shared" si="8"/>
        <v>2.570248E-2</v>
      </c>
      <c r="K24" s="657">
        <f t="shared" si="8"/>
        <v>1.8430985E-2</v>
      </c>
      <c r="L24" s="657">
        <f t="shared" si="8"/>
        <v>2.4059815999999998E-2</v>
      </c>
      <c r="M24" s="657">
        <f t="shared" si="8"/>
        <v>3.1109414000000002E-2</v>
      </c>
      <c r="N24" s="658">
        <f t="shared" ref="N24:N26" si="9">SUM(B24:M24)</f>
        <v>0.30396950818181817</v>
      </c>
      <c r="O24" s="723">
        <f>B24/(1-'F1.3'!$J$19)</f>
        <v>1.6722441809398327E-2</v>
      </c>
      <c r="P24" s="723">
        <f>C24/(1-'F1.3'!$J$19)</f>
        <v>2.091561996779388E-2</v>
      </c>
      <c r="Q24" s="723">
        <f>D24/(1-'F1.3'!$J$19)</f>
        <v>2.5037143719806764E-2</v>
      </c>
      <c r="R24" s="723">
        <f>E24/(1-'F1.3'!$J$19)</f>
        <v>2.9316124194847016E-2</v>
      </c>
      <c r="S24" s="723">
        <f>F24/(1-'F1.3'!$J$19)</f>
        <v>2.7474012681159423E-2</v>
      </c>
      <c r="T24" s="723">
        <f>G24/(1-'F1.3'!$J$19)</f>
        <v>3.9881582125603859E-2</v>
      </c>
      <c r="U24" s="723">
        <f>H24/(1-'F1.3'!$J$19)</f>
        <v>2.392691626409018E-2</v>
      </c>
      <c r="V24" s="723">
        <f>I24/(1-'F1.3'!$J$19)</f>
        <v>2.2711277173913042E-2</v>
      </c>
      <c r="W24" s="723">
        <f>J24/(1-'F1.3'!$J$19)</f>
        <v>2.5868035426731079E-2</v>
      </c>
      <c r="X24" s="723">
        <f>K24/(1-'F1.3'!$J$19)</f>
        <v>1.8549703099838968E-2</v>
      </c>
      <c r="Y24" s="723">
        <f>L24/(1-'F1.3'!$J$19)</f>
        <v>2.421479066022544E-2</v>
      </c>
      <c r="Z24" s="723">
        <f>M24/(1-'F1.3'!$J$19)</f>
        <v>3.1309796698872787E-2</v>
      </c>
      <c r="AA24" s="787">
        <f t="shared" si="6"/>
        <v>0.30592744382228076</v>
      </c>
    </row>
    <row r="25" spans="1:27" ht="16.5">
      <c r="A25" s="425" t="s">
        <v>969</v>
      </c>
      <c r="B25" s="656">
        <f>(B12/22*30)*1.01</f>
        <v>2.1259581818181817E-2</v>
      </c>
      <c r="C25" s="657">
        <f t="shared" ref="C25:M25" si="10">C12*1.01</f>
        <v>2.2935281999999998E-2</v>
      </c>
      <c r="D25" s="657">
        <f t="shared" si="10"/>
        <v>2.2424626E-2</v>
      </c>
      <c r="E25" s="657">
        <f t="shared" si="10"/>
        <v>2.3718941E-2</v>
      </c>
      <c r="F25" s="657">
        <f t="shared" si="10"/>
        <v>2.4283834000000001E-2</v>
      </c>
      <c r="G25" s="657">
        <f t="shared" si="10"/>
        <v>2.2456441000000001E-2</v>
      </c>
      <c r="H25" s="657">
        <f t="shared" si="10"/>
        <v>2.6463918999999992E-2</v>
      </c>
      <c r="I25" s="657">
        <f t="shared" si="10"/>
        <v>2.5699550999999998E-2</v>
      </c>
      <c r="J25" s="657">
        <f t="shared" si="10"/>
        <v>2.6311712000000004E-2</v>
      </c>
      <c r="K25" s="657">
        <f t="shared" si="10"/>
        <v>2.6947809999999996E-2</v>
      </c>
      <c r="L25" s="657">
        <f t="shared" si="10"/>
        <v>2.5506944E-2</v>
      </c>
      <c r="M25" s="657">
        <f t="shared" si="10"/>
        <v>3.0053055000000002E-2</v>
      </c>
      <c r="N25" s="658">
        <f t="shared" si="9"/>
        <v>0.29806169681818179</v>
      </c>
      <c r="O25" s="723">
        <f>B25/(1-'F1.3'!$J$19)</f>
        <v>2.1396519543258673E-2</v>
      </c>
      <c r="P25" s="723">
        <f>C25/(1-'F1.3'!$J$19)</f>
        <v>2.3083013285024153E-2</v>
      </c>
      <c r="Q25" s="723">
        <f>D25/(1-'F1.3'!$J$19)</f>
        <v>2.2569068035426729E-2</v>
      </c>
      <c r="R25" s="723">
        <f>E25/(1-'F1.3'!$J$19)</f>
        <v>2.3871720008051531E-2</v>
      </c>
      <c r="S25" s="723">
        <f>F25/(1-'F1.3'!$J$19)</f>
        <v>2.4440251610305958E-2</v>
      </c>
      <c r="T25" s="723">
        <f>G25/(1-'F1.3'!$J$19)</f>
        <v>2.2601087962962962E-2</v>
      </c>
      <c r="U25" s="723">
        <f>H25/(1-'F1.3'!$J$19)</f>
        <v>2.6634379025764886E-2</v>
      </c>
      <c r="V25" s="723">
        <f>I25/(1-'F1.3'!$J$19)</f>
        <v>2.5865087560386468E-2</v>
      </c>
      <c r="W25" s="723">
        <f>J25/(1-'F1.3'!$J$19)</f>
        <v>2.648119162640902E-2</v>
      </c>
      <c r="X25" s="723">
        <f>K25/(1-'F1.3'!$J$19)</f>
        <v>2.7121386876006435E-2</v>
      </c>
      <c r="Y25" s="723">
        <f>L25/(1-'F1.3'!$J$19)</f>
        <v>2.5671239935587762E-2</v>
      </c>
      <c r="Z25" s="723">
        <f>M25/(1-'F1.3'!$J$19)</f>
        <v>3.0246633454106282E-2</v>
      </c>
      <c r="AA25" s="787">
        <f t="shared" si="6"/>
        <v>0.29998157892329086</v>
      </c>
    </row>
    <row r="26" spans="1:27" ht="16.5">
      <c r="A26" s="425" t="s">
        <v>970</v>
      </c>
      <c r="B26" s="656">
        <f>(B13/22*30)*1.01</f>
        <v>0.4500679363636364</v>
      </c>
      <c r="C26" s="657">
        <f t="shared" ref="C26:M26" si="11">C13*1.01</f>
        <v>0.47219924000000002</v>
      </c>
      <c r="D26" s="657">
        <f t="shared" si="11"/>
        <v>0.46850668000000001</v>
      </c>
      <c r="E26" s="657">
        <f t="shared" si="11"/>
        <v>0.46306681999999999</v>
      </c>
      <c r="F26" s="657">
        <f t="shared" si="11"/>
        <v>0.50680184000000006</v>
      </c>
      <c r="G26" s="657">
        <f t="shared" si="11"/>
        <v>0.56848796369999999</v>
      </c>
      <c r="H26" s="657">
        <f t="shared" si="11"/>
        <v>0.57445365999999998</v>
      </c>
      <c r="I26" s="657">
        <f t="shared" si="11"/>
        <v>0.54716547999999998</v>
      </c>
      <c r="J26" s="657">
        <f t="shared" si="11"/>
        <v>0.56534346000000002</v>
      </c>
      <c r="K26" s="657">
        <f t="shared" si="11"/>
        <v>0.54893499999999995</v>
      </c>
      <c r="L26" s="657">
        <f t="shared" si="11"/>
        <v>0.55511822000000011</v>
      </c>
      <c r="M26" s="657">
        <f t="shared" si="11"/>
        <v>0.61864317999999996</v>
      </c>
      <c r="N26" s="658">
        <f t="shared" si="9"/>
        <v>6.3387894800636371</v>
      </c>
      <c r="O26" s="723">
        <f>B26/(1-'F1.3'!$J$19)</f>
        <v>0.4529669246815986</v>
      </c>
      <c r="P26" s="723">
        <f>C26/(1-'F1.3'!$J$19)</f>
        <v>0.47524078099838968</v>
      </c>
      <c r="Q26" s="723">
        <f>D26/(1-'F1.3'!$J$19)</f>
        <v>0.47152443639291464</v>
      </c>
      <c r="R26" s="723">
        <f>E26/(1-'F1.3'!$J$19)</f>
        <v>0.466049537037037</v>
      </c>
      <c r="S26" s="723">
        <f>F26/(1-'F1.3'!$J$19)</f>
        <v>0.51006626409017719</v>
      </c>
      <c r="T26" s="723">
        <f>G26/(1-'F1.3'!$J$19)</f>
        <v>0.57214972192028979</v>
      </c>
      <c r="U26" s="723">
        <f>H26/(1-'F1.3'!$J$19)</f>
        <v>0.57815384460547503</v>
      </c>
      <c r="V26" s="723">
        <f>I26/(1-'F1.3'!$J$19)</f>
        <v>0.5506898953301127</v>
      </c>
      <c r="W26" s="723">
        <f>J26/(1-'F1.3'!$J$19)</f>
        <v>0.56898496376811591</v>
      </c>
      <c r="X26" s="723">
        <f>K26/(1-'F1.3'!$J$19)</f>
        <v>0.55247081320450875</v>
      </c>
      <c r="Y26" s="723">
        <f>L26/(1-'F1.3'!$J$19)</f>
        <v>0.55869386070853466</v>
      </c>
      <c r="Z26" s="723">
        <f>M26/(1-'F1.3'!$J$19)</f>
        <v>0.6226279991948469</v>
      </c>
      <c r="AA26" s="787">
        <f t="shared" si="6"/>
        <v>6.3796190419320009</v>
      </c>
    </row>
    <row r="27" spans="1:27" ht="16.5">
      <c r="A27" s="426" t="s">
        <v>115</v>
      </c>
      <c r="B27" s="677">
        <f>SUM(B19:B26)</f>
        <v>7.9405505218181824</v>
      </c>
      <c r="C27" s="677">
        <f t="shared" ref="C27:O27" si="12">SUM(C19:C26)</f>
        <v>8.0834288026000003</v>
      </c>
      <c r="D27" s="677">
        <f t="shared" si="12"/>
        <v>7.9064293932000016</v>
      </c>
      <c r="E27" s="677">
        <f t="shared" si="12"/>
        <v>8.1952001900000013</v>
      </c>
      <c r="F27" s="677">
        <f t="shared" si="12"/>
        <v>7.9088729266000009</v>
      </c>
      <c r="G27" s="677">
        <f t="shared" si="12"/>
        <v>7.9154755188000001</v>
      </c>
      <c r="H27" s="677">
        <f t="shared" si="12"/>
        <v>8.3898680445000018</v>
      </c>
      <c r="I27" s="677">
        <f t="shared" si="12"/>
        <v>7.7162889545999995</v>
      </c>
      <c r="J27" s="677">
        <f t="shared" si="12"/>
        <v>7.6090376505000004</v>
      </c>
      <c r="K27" s="677">
        <f t="shared" si="12"/>
        <v>7.1568474080000009</v>
      </c>
      <c r="L27" s="677">
        <f t="shared" si="12"/>
        <v>7.2592056310000004</v>
      </c>
      <c r="M27" s="677">
        <f t="shared" si="12"/>
        <v>8.1136746199999994</v>
      </c>
      <c r="N27" s="658">
        <f>SUM(N19:N26)</f>
        <v>94.194879661618188</v>
      </c>
      <c r="O27" s="658">
        <f t="shared" si="12"/>
        <v>7.9916973850827127</v>
      </c>
      <c r="P27" s="658">
        <f t="shared" ref="P27" si="13">SUM(P19:P26)</f>
        <v>8.1354959768518516</v>
      </c>
      <c r="Q27" s="658">
        <f t="shared" ref="Q27" si="14">SUM(Q19:Q26)</f>
        <v>7.957356474637681</v>
      </c>
      <c r="R27" s="658">
        <f t="shared" ref="R27" si="15">SUM(R19:R26)</f>
        <v>8.2479873087761675</v>
      </c>
      <c r="S27" s="658">
        <f t="shared" ref="S27" si="16">SUM(S19:S26)</f>
        <v>7.9598157473832529</v>
      </c>
      <c r="T27" s="658">
        <f t="shared" ref="T27" si="17">SUM(T19:T26)</f>
        <v>7.9664608683574887</v>
      </c>
      <c r="U27" s="658">
        <f t="shared" ref="U27" si="18">SUM(U19:U26)</f>
        <v>8.4439090625000013</v>
      </c>
      <c r="V27" s="658">
        <f t="shared" ref="V27" si="19">SUM(V19:V26)</f>
        <v>7.7659912989130424</v>
      </c>
      <c r="W27" s="658">
        <f t="shared" ref="W27" si="20">SUM(W19:W26)</f>
        <v>7.6580491651570046</v>
      </c>
      <c r="X27" s="658">
        <f t="shared" ref="X27" si="21">SUM(X19:X26)</f>
        <v>7.2029462640901762</v>
      </c>
      <c r="Y27" s="658">
        <f t="shared" ref="Y27" si="22">SUM(Y19:Y26)</f>
        <v>7.3059637993156192</v>
      </c>
      <c r="Z27" s="658">
        <f t="shared" ref="Z27:AA27" si="23">SUM(Z19:Z26)</f>
        <v>8.1659366143317218</v>
      </c>
      <c r="AA27" s="658">
        <f t="shared" si="23"/>
        <v>94.801609965396722</v>
      </c>
    </row>
    <row r="29" spans="1:27">
      <c r="A29" s="1583" t="s">
        <v>964</v>
      </c>
      <c r="B29" s="1583"/>
      <c r="C29" s="1583"/>
      <c r="D29" s="1583"/>
    </row>
    <row r="30" spans="1:27" ht="15">
      <c r="A30" s="430" t="s">
        <v>252</v>
      </c>
      <c r="B30" s="427" t="s">
        <v>751</v>
      </c>
      <c r="C30" s="427" t="s">
        <v>119</v>
      </c>
      <c r="D30" s="652" t="s">
        <v>752</v>
      </c>
      <c r="E30" s="427" t="s">
        <v>753</v>
      </c>
      <c r="F30" s="427" t="s">
        <v>754</v>
      </c>
      <c r="G30" s="427" t="s">
        <v>755</v>
      </c>
      <c r="H30" s="427" t="s">
        <v>756</v>
      </c>
      <c r="I30" s="427" t="s">
        <v>757</v>
      </c>
      <c r="J30" s="427" t="s">
        <v>758</v>
      </c>
      <c r="K30" s="427" t="s">
        <v>759</v>
      </c>
      <c r="L30" s="427" t="s">
        <v>760</v>
      </c>
      <c r="M30" s="427" t="s">
        <v>761</v>
      </c>
      <c r="N30" s="427" t="s">
        <v>115</v>
      </c>
      <c r="O30" s="674" t="s">
        <v>968</v>
      </c>
      <c r="P30" s="675"/>
    </row>
    <row r="31" spans="1:27" ht="16.5">
      <c r="A31" s="439" t="s">
        <v>267</v>
      </c>
      <c r="B31" s="655"/>
      <c r="C31" s="655"/>
      <c r="D31" s="655"/>
      <c r="E31" s="655"/>
      <c r="F31" s="655"/>
      <c r="G31" s="655"/>
      <c r="H31" s="655"/>
      <c r="I31" s="655"/>
      <c r="J31" s="655"/>
      <c r="K31" s="655"/>
      <c r="L31" s="655"/>
      <c r="M31" s="655"/>
      <c r="N31" s="655"/>
      <c r="P31" s="653"/>
    </row>
    <row r="32" spans="1:27" ht="16.5">
      <c r="A32" s="422" t="s">
        <v>763</v>
      </c>
      <c r="B32" s="656">
        <f t="shared" ref="B32:M32" si="24">(B19*1.01)+1</f>
        <v>8.1372649110363646</v>
      </c>
      <c r="C32" s="656">
        <f t="shared" si="24"/>
        <v>8.316489104786001</v>
      </c>
      <c r="D32" s="656">
        <f t="shared" si="24"/>
        <v>8.1479760927220006</v>
      </c>
      <c r="E32" s="656">
        <f t="shared" si="24"/>
        <v>8.4392141122700011</v>
      </c>
      <c r="F32" s="656">
        <f t="shared" si="24"/>
        <v>8.1093856485159996</v>
      </c>
      <c r="G32" s="656">
        <f t="shared" si="24"/>
        <v>8.0430965412210007</v>
      </c>
      <c r="H32" s="656">
        <f t="shared" si="24"/>
        <v>8.5187917562350002</v>
      </c>
      <c r="I32" s="656">
        <f t="shared" si="24"/>
        <v>7.874125086015999</v>
      </c>
      <c r="J32" s="656">
        <f t="shared" si="24"/>
        <v>7.7418747213650008</v>
      </c>
      <c r="K32" s="656">
        <f t="shared" si="24"/>
        <v>7.3128006164000006</v>
      </c>
      <c r="L32" s="656">
        <f t="shared" si="24"/>
        <v>7.4097883580700001</v>
      </c>
      <c r="M32" s="656">
        <f t="shared" si="24"/>
        <v>8.1950351215000001</v>
      </c>
      <c r="N32" s="658">
        <f>SUM(B32:M32)</f>
        <v>96.245842070137357</v>
      </c>
      <c r="O32" s="788">
        <f>B32/(1-'F1.3'!$J$25)</f>
        <v>8.189678855712927</v>
      </c>
      <c r="P32" s="788">
        <f>C32/(1-'F1.3'!$J$25)</f>
        <v>8.3700574726107089</v>
      </c>
      <c r="Q32" s="788">
        <f>D32/(1-'F1.3'!$J$25)</f>
        <v>8.2004590305173117</v>
      </c>
      <c r="R32" s="788">
        <f>E32/(1-'F1.3'!$J$25)</f>
        <v>8.4935729793377632</v>
      </c>
      <c r="S32" s="788">
        <f>F32/(1-'F1.3'!$J$25)</f>
        <v>8.1616200166223827</v>
      </c>
      <c r="T32" s="788">
        <f>G32/(1-'F1.3'!$J$25)</f>
        <v>8.0949039263496374</v>
      </c>
      <c r="U32" s="788">
        <f>H32/(1-'F1.3'!$J$25)</f>
        <v>8.5736632007196061</v>
      </c>
      <c r="V32" s="788">
        <f>I32/(1-'F1.3'!$J$25)</f>
        <v>7.924844088180353</v>
      </c>
      <c r="W32" s="788">
        <f>J32/(1-'F1.3'!$J$25)</f>
        <v>7.7917418693287042</v>
      </c>
      <c r="X32" s="788">
        <f>K32/(1-'F1.3'!$J$25)</f>
        <v>7.3599040020128825</v>
      </c>
      <c r="Y32" s="788">
        <f>L32/(1-'F1.3'!$J$25)</f>
        <v>7.4575164634359901</v>
      </c>
      <c r="Z32" s="788">
        <f>M32/(1-'F1.3'!$J$25)</f>
        <v>8.2478211770330105</v>
      </c>
      <c r="AA32" s="786">
        <f>SUM(O32:Z32)</f>
        <v>96.865783081861281</v>
      </c>
    </row>
    <row r="33" spans="1:27" ht="16.5">
      <c r="A33" s="422" t="s">
        <v>764</v>
      </c>
      <c r="B33" s="663">
        <f t="shared" ref="B33:M33" si="25">B20</f>
        <v>0.37622727272727269</v>
      </c>
      <c r="C33" s="663">
        <f t="shared" si="25"/>
        <v>0.314</v>
      </c>
      <c r="D33" s="663">
        <f t="shared" si="25"/>
        <v>0.30412220000000001</v>
      </c>
      <c r="E33" s="663">
        <f t="shared" si="25"/>
        <v>0.30400099999999997</v>
      </c>
      <c r="F33" s="663">
        <f t="shared" si="25"/>
        <v>0.30432419999999999</v>
      </c>
      <c r="G33" s="663">
        <f t="shared" si="25"/>
        <v>0.30468780000000001</v>
      </c>
      <c r="H33" s="663">
        <f t="shared" si="25"/>
        <v>0.3058594</v>
      </c>
      <c r="I33" s="663">
        <f t="shared" si="25"/>
        <v>0.30517260000000002</v>
      </c>
      <c r="J33" s="663">
        <f t="shared" si="25"/>
        <v>0.304809</v>
      </c>
      <c r="K33" s="663">
        <f t="shared" si="25"/>
        <v>0.30327999999999999</v>
      </c>
      <c r="L33" s="663">
        <f t="shared" si="25"/>
        <v>0.3</v>
      </c>
      <c r="M33" s="663">
        <f t="shared" si="25"/>
        <v>0.3</v>
      </c>
      <c r="N33" s="658">
        <f>SUM(B33:M33)</f>
        <v>3.7264834727272724</v>
      </c>
      <c r="O33" s="788">
        <f>B33/(1-'F1.3'!$J$25)</f>
        <v>0.37865063680281064</v>
      </c>
      <c r="P33" s="788">
        <f>C33/(1-'F1.3'!$J$25)</f>
        <v>0.31602254428341386</v>
      </c>
      <c r="Q33" s="788">
        <f>D33/(1-'F1.3'!$J$25)</f>
        <v>0.30608111916264091</v>
      </c>
      <c r="R33" s="788">
        <f>E33/(1-'F1.3'!$J$25)</f>
        <v>0.30595913848631234</v>
      </c>
      <c r="S33" s="788">
        <f>F33/(1-'F1.3'!$J$25)</f>
        <v>0.30628442028985503</v>
      </c>
      <c r="T33" s="788">
        <f>G33/(1-'F1.3'!$J$25)</f>
        <v>0.30665036231884057</v>
      </c>
      <c r="U33" s="788">
        <f>H33/(1-'F1.3'!$J$25)</f>
        <v>0.30782950885668275</v>
      </c>
      <c r="V33" s="788">
        <f>I33/(1-'F1.3'!$J$25)</f>
        <v>0.30713828502415458</v>
      </c>
      <c r="W33" s="788">
        <f>J33/(1-'F1.3'!$J$25)</f>
        <v>0.30677234299516909</v>
      </c>
      <c r="X33" s="788">
        <f>K33/(1-'F1.3'!$J$25)</f>
        <v>0.3052334943639291</v>
      </c>
      <c r="Y33" s="788">
        <f>L33/(1-'F1.3'!$J$25)</f>
        <v>0.30193236714975841</v>
      </c>
      <c r="Z33" s="788">
        <f>M33/(1-'F1.3'!$J$25)</f>
        <v>0.30193236714975841</v>
      </c>
      <c r="AA33" s="786">
        <f t="shared" ref="AA33:AA39" si="26">SUM(O33:Z33)</f>
        <v>3.7504865868833264</v>
      </c>
    </row>
    <row r="34" spans="1:27" ht="16.5">
      <c r="A34" s="440" t="s">
        <v>270</v>
      </c>
      <c r="B34" s="655"/>
      <c r="C34" s="655"/>
      <c r="D34" s="655"/>
      <c r="E34" s="655"/>
      <c r="F34" s="655"/>
      <c r="G34" s="655"/>
      <c r="H34" s="655"/>
      <c r="I34" s="655"/>
      <c r="J34" s="655"/>
      <c r="K34" s="655"/>
      <c r="L34" s="655"/>
      <c r="M34" s="655"/>
      <c r="N34" s="659"/>
      <c r="O34" s="720"/>
      <c r="P34" s="720"/>
      <c r="Q34" s="720"/>
      <c r="R34" s="720"/>
      <c r="S34" s="720"/>
      <c r="T34" s="720"/>
      <c r="U34" s="720"/>
      <c r="V34" s="720"/>
      <c r="W34" s="720"/>
      <c r="X34" s="720"/>
      <c r="Y34" s="720"/>
      <c r="Z34" s="720"/>
      <c r="AA34" s="786">
        <f t="shared" si="26"/>
        <v>0</v>
      </c>
    </row>
    <row r="35" spans="1:27" ht="16.5">
      <c r="A35" s="676" t="s">
        <v>787</v>
      </c>
      <c r="B35" s="655"/>
      <c r="C35" s="655"/>
      <c r="D35" s="655"/>
      <c r="E35" s="655"/>
      <c r="F35" s="655"/>
      <c r="G35" s="655"/>
      <c r="H35" s="655"/>
      <c r="I35" s="655"/>
      <c r="J35" s="655"/>
      <c r="K35" s="655"/>
      <c r="L35" s="655"/>
      <c r="M35" s="655"/>
      <c r="N35" s="659"/>
      <c r="O35" s="720"/>
      <c r="P35" s="720"/>
      <c r="Q35" s="720"/>
      <c r="R35" s="720"/>
      <c r="S35" s="720"/>
      <c r="T35" s="720"/>
      <c r="U35" s="720"/>
      <c r="V35" s="720"/>
      <c r="W35" s="720"/>
      <c r="X35" s="720"/>
      <c r="Y35" s="720"/>
      <c r="Z35" s="720"/>
      <c r="AA35" s="786">
        <f t="shared" si="26"/>
        <v>0</v>
      </c>
    </row>
    <row r="36" spans="1:27" ht="16.5">
      <c r="A36" s="422" t="s">
        <v>765</v>
      </c>
      <c r="B36" s="656">
        <f t="shared" ref="B36:M36" si="27">B23*1.01</f>
        <v>9.8792048181818182E-3</v>
      </c>
      <c r="C36" s="656">
        <f t="shared" si="27"/>
        <v>9.5585410200000002E-3</v>
      </c>
      <c r="D36" s="656">
        <f t="shared" si="27"/>
        <v>9.387878290000002E-3</v>
      </c>
      <c r="E36" s="656">
        <f t="shared" si="27"/>
        <v>9.8236650100000013E-3</v>
      </c>
      <c r="F36" s="656">
        <f t="shared" si="27"/>
        <v>7.2408738199999986E-3</v>
      </c>
      <c r="G36" s="656">
        <f t="shared" si="27"/>
        <v>6.92260262E-3</v>
      </c>
      <c r="H36" s="656">
        <f t="shared" si="27"/>
        <v>1.511869808E-2</v>
      </c>
      <c r="I36" s="656">
        <f t="shared" si="27"/>
        <v>9.7171665700000014E-3</v>
      </c>
      <c r="J36" s="656">
        <f t="shared" si="27"/>
        <v>1.1864987120000002E-2</v>
      </c>
      <c r="K36" s="656">
        <f t="shared" si="27"/>
        <v>9.0455327300000016E-3</v>
      </c>
      <c r="L36" s="656">
        <f t="shared" si="27"/>
        <v>8.2774994400000006E-3</v>
      </c>
      <c r="M36" s="656">
        <f t="shared" si="27"/>
        <v>1.017253921E-2</v>
      </c>
      <c r="N36" s="658">
        <f>SUM(B36:M36)</f>
        <v>0.11700918872818183</v>
      </c>
      <c r="O36" s="788">
        <f>B36/(1-'F1.3'!$J$25)</f>
        <v>9.9428389877031179E-3</v>
      </c>
      <c r="P36" s="788">
        <f>C36/(1-'F1.3'!$J$25)</f>
        <v>9.6201097222222212E-3</v>
      </c>
      <c r="Q36" s="788">
        <f>D36/(1-'F1.3'!$J$25)</f>
        <v>9.4483477153784242E-3</v>
      </c>
      <c r="R36" s="788">
        <f>E36/(1-'F1.3'!$J$25)</f>
        <v>9.8869414351851863E-3</v>
      </c>
      <c r="S36" s="788">
        <f>F36/(1-'F1.3'!$J$25)</f>
        <v>7.2875139090177116E-3</v>
      </c>
      <c r="T36" s="788">
        <f>G36/(1-'F1.3'!$J$25)</f>
        <v>6.9671926529790654E-3</v>
      </c>
      <c r="U36" s="788">
        <f>H36/(1-'F1.3'!$J$25)</f>
        <v>1.5216080998389694E-2</v>
      </c>
      <c r="V36" s="788">
        <f>I36/(1-'F1.3'!$J$25)</f>
        <v>9.7797570148953315E-3</v>
      </c>
      <c r="W36" s="788">
        <f>J36/(1-'F1.3'!$J$25)</f>
        <v>1.1941412157809986E-2</v>
      </c>
      <c r="X36" s="788">
        <f>K36/(1-'F1.3'!$J$25)</f>
        <v>9.1037970309983916E-3</v>
      </c>
      <c r="Y36" s="788">
        <f>L36/(1-'F1.3'!$J$25)</f>
        <v>8.3308166666666676E-3</v>
      </c>
      <c r="Z36" s="788">
        <f>M36/(1-'F1.3'!$J$25)</f>
        <v>1.0238062811996778E-2</v>
      </c>
      <c r="AA36" s="786">
        <f t="shared" si="26"/>
        <v>0.11776287110324259</v>
      </c>
    </row>
    <row r="37" spans="1:27" ht="16.5">
      <c r="A37" s="422" t="s">
        <v>766</v>
      </c>
      <c r="B37" s="656">
        <f>B24*1.01</f>
        <v>1.6781572363636359E-2</v>
      </c>
      <c r="C37" s="656">
        <f t="shared" ref="C37:M37" si="28">C24*1.01</f>
        <v>2.09895776E-2</v>
      </c>
      <c r="D37" s="656">
        <f t="shared" si="28"/>
        <v>2.5125675060000002E-2</v>
      </c>
      <c r="E37" s="656">
        <f t="shared" si="28"/>
        <v>2.9419786009999997E-2</v>
      </c>
      <c r="F37" s="656">
        <f t="shared" si="28"/>
        <v>2.7571160790000004E-2</v>
      </c>
      <c r="G37" s="656">
        <f t="shared" si="28"/>
        <v>4.0022603399999995E-2</v>
      </c>
      <c r="H37" s="656">
        <f t="shared" si="28"/>
        <v>2.4011521840000005E-2</v>
      </c>
      <c r="I37" s="656">
        <f t="shared" si="28"/>
        <v>2.279158425E-2</v>
      </c>
      <c r="J37" s="656">
        <f t="shared" si="28"/>
        <v>2.5959504800000002E-2</v>
      </c>
      <c r="K37" s="656">
        <f t="shared" si="28"/>
        <v>1.8615294850000002E-2</v>
      </c>
      <c r="L37" s="656">
        <f t="shared" si="28"/>
        <v>2.4300414159999999E-2</v>
      </c>
      <c r="M37" s="656">
        <f t="shared" si="28"/>
        <v>3.1420508140000004E-2</v>
      </c>
      <c r="N37" s="658">
        <f t="shared" ref="N37:N39" si="29">SUM(B37:M37)</f>
        <v>0.3070092032636364</v>
      </c>
      <c r="O37" s="788">
        <f>B37/(1-'F1.3'!$J$25)</f>
        <v>1.6889666227492307E-2</v>
      </c>
      <c r="P37" s="788">
        <f>C37/(1-'F1.3'!$J$25)</f>
        <v>2.1124776167471819E-2</v>
      </c>
      <c r="Q37" s="788">
        <f>D37/(1-'F1.3'!$J$25)</f>
        <v>2.5287515157004833E-2</v>
      </c>
      <c r="R37" s="788">
        <f>E37/(1-'F1.3'!$J$25)</f>
        <v>2.9609285436795488E-2</v>
      </c>
      <c r="S37" s="788">
        <f>F37/(1-'F1.3'!$J$25)</f>
        <v>2.7748752807971018E-2</v>
      </c>
      <c r="T37" s="788">
        <f>G37/(1-'F1.3'!$J$25)</f>
        <v>4.0280397946859899E-2</v>
      </c>
      <c r="U37" s="788">
        <f>H37/(1-'F1.3'!$J$25)</f>
        <v>2.4166185426731084E-2</v>
      </c>
      <c r="V37" s="788">
        <f>I37/(1-'F1.3'!$J$25)</f>
        <v>2.2938389945652175E-2</v>
      </c>
      <c r="W37" s="788">
        <f>J37/(1-'F1.3'!$J$25)</f>
        <v>2.6126715780998389E-2</v>
      </c>
      <c r="X37" s="788">
        <f>K37/(1-'F1.3'!$J$25)</f>
        <v>1.8735200130837359E-2</v>
      </c>
      <c r="Y37" s="788">
        <f>L37/(1-'F1.3'!$J$25)</f>
        <v>2.4456938566827693E-2</v>
      </c>
      <c r="Z37" s="788">
        <f>M37/(1-'F1.3'!$J$25)</f>
        <v>3.1622894665861517E-2</v>
      </c>
      <c r="AA37" s="786">
        <f t="shared" si="26"/>
        <v>0.30898671826050361</v>
      </c>
    </row>
    <row r="38" spans="1:27" ht="16.5">
      <c r="A38" s="425" t="s">
        <v>969</v>
      </c>
      <c r="B38" s="656">
        <f t="shared" ref="B38:M39" si="30">B25*1.01</f>
        <v>2.1472177636363634E-2</v>
      </c>
      <c r="C38" s="656">
        <f t="shared" si="30"/>
        <v>2.3164634819999998E-2</v>
      </c>
      <c r="D38" s="656">
        <f t="shared" si="30"/>
        <v>2.2648872260000001E-2</v>
      </c>
      <c r="E38" s="656">
        <f t="shared" si="30"/>
        <v>2.3956130410000002E-2</v>
      </c>
      <c r="F38" s="656">
        <f t="shared" si="30"/>
        <v>2.452667234E-2</v>
      </c>
      <c r="G38" s="656">
        <f t="shared" si="30"/>
        <v>2.268100541E-2</v>
      </c>
      <c r="H38" s="656">
        <f t="shared" si="30"/>
        <v>2.6728558189999991E-2</v>
      </c>
      <c r="I38" s="656">
        <f t="shared" si="30"/>
        <v>2.5956546509999998E-2</v>
      </c>
      <c r="J38" s="656">
        <f t="shared" si="30"/>
        <v>2.6574829120000004E-2</v>
      </c>
      <c r="K38" s="656">
        <f t="shared" si="30"/>
        <v>2.7217288099999997E-2</v>
      </c>
      <c r="L38" s="656">
        <f t="shared" si="30"/>
        <v>2.5762013440000002E-2</v>
      </c>
      <c r="M38" s="656">
        <f t="shared" si="30"/>
        <v>3.0353585550000003E-2</v>
      </c>
      <c r="N38" s="658">
        <f t="shared" si="29"/>
        <v>0.30104231378636365</v>
      </c>
      <c r="O38" s="788">
        <f>B38/(1-'F1.3'!$J$25)</f>
        <v>2.1610484738691257E-2</v>
      </c>
      <c r="P38" s="788">
        <f>C38/(1-'F1.3'!$J$25)</f>
        <v>2.3313843417874392E-2</v>
      </c>
      <c r="Q38" s="788">
        <f>D38/(1-'F1.3'!$J$25)</f>
        <v>2.2794758715780999E-2</v>
      </c>
      <c r="R38" s="788">
        <f>E38/(1-'F1.3'!$J$25)</f>
        <v>2.4110437208132045E-2</v>
      </c>
      <c r="S38" s="788">
        <f>F38/(1-'F1.3'!$J$25)</f>
        <v>2.4684654126409016E-2</v>
      </c>
      <c r="T38" s="788">
        <f>G38/(1-'F1.3'!$J$25)</f>
        <v>2.282709884259259E-2</v>
      </c>
      <c r="U38" s="788">
        <f>H38/(1-'F1.3'!$J$25)</f>
        <v>2.6900722816022533E-2</v>
      </c>
      <c r="V38" s="788">
        <f>I38/(1-'F1.3'!$J$25)</f>
        <v>2.6123738435990335E-2</v>
      </c>
      <c r="W38" s="788">
        <f>J38/(1-'F1.3'!$J$25)</f>
        <v>2.6746003542673112E-2</v>
      </c>
      <c r="X38" s="788">
        <f>K38/(1-'F1.3'!$J$25)</f>
        <v>2.7392600744766502E-2</v>
      </c>
      <c r="Y38" s="788">
        <f>L38/(1-'F1.3'!$J$25)</f>
        <v>2.5927952334943639E-2</v>
      </c>
      <c r="Z38" s="788">
        <f>M38/(1-'F1.3'!$J$25)</f>
        <v>3.0549099788647345E-2</v>
      </c>
      <c r="AA38" s="786">
        <f t="shared" si="26"/>
        <v>0.30298139471252383</v>
      </c>
    </row>
    <row r="39" spans="1:27" ht="16.5">
      <c r="A39" s="425" t="s">
        <v>970</v>
      </c>
      <c r="B39" s="656">
        <f t="shared" si="30"/>
        <v>0.45456861572727275</v>
      </c>
      <c r="C39" s="656">
        <f t="shared" si="30"/>
        <v>0.47692123240000001</v>
      </c>
      <c r="D39" s="656">
        <f t="shared" si="30"/>
        <v>0.47319174680000003</v>
      </c>
      <c r="E39" s="656">
        <f t="shared" si="30"/>
        <v>0.46769748820000001</v>
      </c>
      <c r="F39" s="656">
        <f t="shared" si="30"/>
        <v>0.5118698584000001</v>
      </c>
      <c r="G39" s="656">
        <f t="shared" si="30"/>
        <v>0.57417284333700003</v>
      </c>
      <c r="H39" s="656">
        <f t="shared" si="30"/>
        <v>0.58019819659999994</v>
      </c>
      <c r="I39" s="656">
        <f t="shared" si="30"/>
        <v>0.55263713479999999</v>
      </c>
      <c r="J39" s="656">
        <f t="shared" si="30"/>
        <v>0.57099689460000003</v>
      </c>
      <c r="K39" s="656">
        <f t="shared" si="30"/>
        <v>0.55442435000000001</v>
      </c>
      <c r="L39" s="656">
        <f t="shared" si="30"/>
        <v>0.56066940220000017</v>
      </c>
      <c r="M39" s="656">
        <f t="shared" si="30"/>
        <v>0.62482961179999996</v>
      </c>
      <c r="N39" s="658">
        <f t="shared" si="29"/>
        <v>6.4021773748642739</v>
      </c>
      <c r="O39" s="788">
        <f>B39/(1-'F1.3'!$J$25)</f>
        <v>0.45749659392841457</v>
      </c>
      <c r="P39" s="788">
        <f>C39/(1-'F1.3'!$J$25)</f>
        <v>0.47999318880837361</v>
      </c>
      <c r="Q39" s="788">
        <f>D39/(1-'F1.3'!$J$25)</f>
        <v>0.47623968075684381</v>
      </c>
      <c r="R39" s="788">
        <f>E39/(1-'F1.3'!$J$25)</f>
        <v>0.47071003240740739</v>
      </c>
      <c r="S39" s="788">
        <f>F39/(1-'F1.3'!$J$25)</f>
        <v>0.515166926731079</v>
      </c>
      <c r="T39" s="788">
        <f>G39/(1-'F1.3'!$J$25)</f>
        <v>0.5778712191394928</v>
      </c>
      <c r="U39" s="788">
        <f>H39/(1-'F1.3'!$J$25)</f>
        <v>0.5839353830515297</v>
      </c>
      <c r="V39" s="788">
        <f>I39/(1-'F1.3'!$J$25)</f>
        <v>0.55619679428341384</v>
      </c>
      <c r="W39" s="788">
        <f>J39/(1-'F1.3'!$J$25)</f>
        <v>0.57467481340579707</v>
      </c>
      <c r="X39" s="788">
        <f>K39/(1-'F1.3'!$J$25)</f>
        <v>0.55799552133655395</v>
      </c>
      <c r="Y39" s="788">
        <f>L39/(1-'F1.3'!$J$25)</f>
        <v>0.56428079931562014</v>
      </c>
      <c r="Z39" s="788">
        <f>M39/(1-'F1.3'!$J$25)</f>
        <v>0.62885427918679548</v>
      </c>
      <c r="AA39" s="786">
        <f t="shared" si="26"/>
        <v>6.4434152323513203</v>
      </c>
    </row>
    <row r="40" spans="1:27" ht="16.5">
      <c r="A40" s="426" t="s">
        <v>115</v>
      </c>
      <c r="B40" s="655"/>
      <c r="C40" s="655"/>
      <c r="D40" s="655"/>
      <c r="E40" s="655"/>
      <c r="F40" s="655"/>
      <c r="G40" s="655"/>
      <c r="H40" s="655"/>
      <c r="I40" s="655"/>
      <c r="J40" s="655"/>
      <c r="K40" s="655"/>
      <c r="L40" s="655"/>
      <c r="M40" s="655"/>
      <c r="N40" s="658">
        <f t="shared" ref="N40:AA40" si="31">SUM(N32:N39)</f>
        <v>107.09956362350708</v>
      </c>
      <c r="O40" s="786">
        <f t="shared" si="31"/>
        <v>9.0742690763980374</v>
      </c>
      <c r="P40" s="786">
        <f t="shared" si="31"/>
        <v>9.2201319350100643</v>
      </c>
      <c r="Q40" s="786">
        <f t="shared" si="31"/>
        <v>9.0403104520249631</v>
      </c>
      <c r="R40" s="786">
        <f t="shared" si="31"/>
        <v>9.3338488143115939</v>
      </c>
      <c r="S40" s="786">
        <f t="shared" si="31"/>
        <v>9.0427922844867137</v>
      </c>
      <c r="T40" s="786">
        <f t="shared" si="31"/>
        <v>9.0495001972504028</v>
      </c>
      <c r="U40" s="786">
        <f t="shared" si="31"/>
        <v>9.5317110818689628</v>
      </c>
      <c r="V40" s="786">
        <f t="shared" si="31"/>
        <v>8.8470210528844593</v>
      </c>
      <c r="W40" s="786">
        <f t="shared" si="31"/>
        <v>8.7380031572111534</v>
      </c>
      <c r="X40" s="786">
        <f t="shared" si="31"/>
        <v>8.2783646156199673</v>
      </c>
      <c r="Y40" s="786">
        <f t="shared" si="31"/>
        <v>8.3824453374698074</v>
      </c>
      <c r="Z40" s="786">
        <f t="shared" si="31"/>
        <v>9.2510178806360699</v>
      </c>
      <c r="AA40" s="786">
        <f t="shared" si="31"/>
        <v>107.78941588517219</v>
      </c>
    </row>
    <row r="42" spans="1:27">
      <c r="A42" s="1583" t="s">
        <v>965</v>
      </c>
      <c r="B42" s="1583"/>
      <c r="C42" s="1583"/>
      <c r="D42" s="1583"/>
    </row>
    <row r="43" spans="1:27" ht="15">
      <c r="A43" s="430" t="s">
        <v>252</v>
      </c>
      <c r="B43" s="427" t="s">
        <v>751</v>
      </c>
      <c r="C43" s="427" t="s">
        <v>119</v>
      </c>
      <c r="D43" s="652" t="s">
        <v>752</v>
      </c>
      <c r="E43" s="427" t="s">
        <v>753</v>
      </c>
      <c r="F43" s="427" t="s">
        <v>754</v>
      </c>
      <c r="G43" s="427" t="s">
        <v>755</v>
      </c>
      <c r="H43" s="427" t="s">
        <v>756</v>
      </c>
      <c r="I43" s="427" t="s">
        <v>757</v>
      </c>
      <c r="J43" s="427" t="s">
        <v>758</v>
      </c>
      <c r="K43" s="427" t="s">
        <v>759</v>
      </c>
      <c r="L43" s="427" t="s">
        <v>760</v>
      </c>
      <c r="M43" s="427" t="s">
        <v>761</v>
      </c>
      <c r="N43" s="427" t="s">
        <v>115</v>
      </c>
      <c r="O43" s="674" t="s">
        <v>968</v>
      </c>
      <c r="P43" s="675"/>
    </row>
    <row r="44" spans="1:27" ht="16.5">
      <c r="A44" s="439" t="s">
        <v>267</v>
      </c>
      <c r="B44" s="655"/>
      <c r="C44" s="655"/>
      <c r="D44" s="655"/>
      <c r="E44" s="655"/>
      <c r="F44" s="655"/>
      <c r="G44" s="655"/>
      <c r="H44" s="655"/>
      <c r="I44" s="655"/>
      <c r="J44" s="655"/>
      <c r="K44" s="655"/>
      <c r="L44" s="655"/>
      <c r="M44" s="655"/>
      <c r="N44" s="655"/>
      <c r="P44" s="653"/>
    </row>
    <row r="45" spans="1:27" ht="16.5">
      <c r="A45" s="422" t="s">
        <v>763</v>
      </c>
      <c r="B45" s="656">
        <f t="shared" ref="B45:M45" si="32">(B32*1.01)+0.5</f>
        <v>8.7186375601467283</v>
      </c>
      <c r="C45" s="656">
        <f t="shared" si="32"/>
        <v>8.8996539958338605</v>
      </c>
      <c r="D45" s="656">
        <f t="shared" si="32"/>
        <v>8.7294558536492204</v>
      </c>
      <c r="E45" s="656">
        <f t="shared" si="32"/>
        <v>9.0236062533927015</v>
      </c>
      <c r="F45" s="656">
        <f t="shared" si="32"/>
        <v>8.690479505001159</v>
      </c>
      <c r="G45" s="656">
        <f t="shared" si="32"/>
        <v>8.6235275066332111</v>
      </c>
      <c r="H45" s="656">
        <f t="shared" si="32"/>
        <v>9.1039796737973511</v>
      </c>
      <c r="I45" s="656">
        <f t="shared" si="32"/>
        <v>8.4528663368761592</v>
      </c>
      <c r="J45" s="656">
        <f t="shared" si="32"/>
        <v>8.3192934685786497</v>
      </c>
      <c r="K45" s="656">
        <f t="shared" si="32"/>
        <v>7.8859286225640011</v>
      </c>
      <c r="L45" s="656">
        <f t="shared" si="32"/>
        <v>7.9838862416507004</v>
      </c>
      <c r="M45" s="656">
        <f t="shared" si="32"/>
        <v>8.7769854727149994</v>
      </c>
      <c r="N45" s="658">
        <f>SUM(B45:M45)</f>
        <v>103.20830049083872</v>
      </c>
      <c r="O45" s="788">
        <f>B45/(1-'F1.3'!$J$32)</f>
        <v>8.7747962561863204</v>
      </c>
      <c r="P45" s="788">
        <f>C45/(1-'F1.3'!$J$32)</f>
        <v>8.95697865925308</v>
      </c>
      <c r="Q45" s="788">
        <f>D45/(1-'F1.3'!$J$32)</f>
        <v>8.7856842327387472</v>
      </c>
      <c r="R45" s="788">
        <f>E45/(1-'F1.3'!$J$32)</f>
        <v>9.0817293210474048</v>
      </c>
      <c r="S45" s="788">
        <f>F45/(1-'F1.3'!$J$32)</f>
        <v>8.7464568287048703</v>
      </c>
      <c r="T45" s="788">
        <f>G45/(1-'F1.3'!$J$32)</f>
        <v>8.6790735775293992</v>
      </c>
      <c r="U45" s="788">
        <f>H45/(1-'F1.3'!$J$32)</f>
        <v>9.1626204446430659</v>
      </c>
      <c r="V45" s="788">
        <f>I45/(1-'F1.3'!$J$32)</f>
        <v>8.50731314097842</v>
      </c>
      <c r="W45" s="788">
        <f>J45/(1-'F1.3'!$J$32)</f>
        <v>8.3728798999382548</v>
      </c>
      <c r="X45" s="788">
        <f>K45/(1-'F1.3'!$J$32)</f>
        <v>7.9367236539492758</v>
      </c>
      <c r="Y45" s="788">
        <f>L45/(1-'F1.3'!$J$32)</f>
        <v>8.0353122399866148</v>
      </c>
      <c r="Z45" s="788">
        <f>M45/(1-'F1.3'!$J$32)</f>
        <v>8.833520000719604</v>
      </c>
      <c r="AA45" s="658">
        <f>SUM(O45:Z45)</f>
        <v>103.87308825567506</v>
      </c>
    </row>
    <row r="46" spans="1:27" ht="16.5">
      <c r="A46" s="422" t="s">
        <v>764</v>
      </c>
      <c r="B46" s="663">
        <f t="shared" ref="B46:M46" si="33">(B33*1.01)-0.15</f>
        <v>0.22998954545454545</v>
      </c>
      <c r="C46" s="663">
        <f t="shared" si="33"/>
        <v>0.16713999999999998</v>
      </c>
      <c r="D46" s="663">
        <f t="shared" si="33"/>
        <v>0.15716342200000002</v>
      </c>
      <c r="E46" s="663">
        <f t="shared" si="33"/>
        <v>0.15704100999999995</v>
      </c>
      <c r="F46" s="663">
        <f t="shared" si="33"/>
        <v>0.157367442</v>
      </c>
      <c r="G46" s="663">
        <f t="shared" si="33"/>
        <v>0.15773467799999999</v>
      </c>
      <c r="H46" s="663">
        <f t="shared" si="33"/>
        <v>0.15891799400000003</v>
      </c>
      <c r="I46" s="663">
        <f t="shared" si="33"/>
        <v>0.158224326</v>
      </c>
      <c r="J46" s="663">
        <f t="shared" si="33"/>
        <v>0.15785709000000001</v>
      </c>
      <c r="K46" s="663">
        <f t="shared" si="33"/>
        <v>0.1563128</v>
      </c>
      <c r="L46" s="663">
        <f t="shared" si="33"/>
        <v>0.153</v>
      </c>
      <c r="M46" s="663">
        <f t="shared" si="33"/>
        <v>0.153</v>
      </c>
      <c r="N46" s="658">
        <f>SUM(B46:M46)</f>
        <v>1.9637483074545456</v>
      </c>
      <c r="O46" s="788">
        <f>B46/(1-'F1.3'!$J$32)</f>
        <v>0.23147095959595959</v>
      </c>
      <c r="P46" s="788">
        <f>C46/(1-'F1.3'!$J$32)</f>
        <v>0.16821658615136872</v>
      </c>
      <c r="Q46" s="788">
        <f>D46/(1-'F1.3'!$J$32)</f>
        <v>0.15817574677938812</v>
      </c>
      <c r="R46" s="788">
        <f>E46/(1-'F1.3'!$J$32)</f>
        <v>0.15805254629629625</v>
      </c>
      <c r="S46" s="788">
        <f>F46/(1-'F1.3'!$J$32)</f>
        <v>0.1583810809178744</v>
      </c>
      <c r="T46" s="788">
        <f>G46/(1-'F1.3'!$J$32)</f>
        <v>0.15875068236714973</v>
      </c>
      <c r="U46" s="788">
        <f>H46/(1-'F1.3'!$J$32)</f>
        <v>0.15994162037037041</v>
      </c>
      <c r="V46" s="788">
        <f>I46/(1-'F1.3'!$J$32)</f>
        <v>0.1592434842995169</v>
      </c>
      <c r="W46" s="788">
        <f>J46/(1-'F1.3'!$J$32)</f>
        <v>0.15887388285024154</v>
      </c>
      <c r="X46" s="788">
        <f>K46/(1-'F1.3'!$J$32)</f>
        <v>0.1573196457326892</v>
      </c>
      <c r="Y46" s="788">
        <f>L46/(1-'F1.3'!$J$32)</f>
        <v>0.1539855072463768</v>
      </c>
      <c r="Z46" s="788">
        <f>M46/(1-'F1.3'!$J$32)</f>
        <v>0.1539855072463768</v>
      </c>
      <c r="AA46" s="658">
        <f t="shared" ref="AA46:AA52" si="34">SUM(O46:Z46)</f>
        <v>1.9763972498536084</v>
      </c>
    </row>
    <row r="47" spans="1:27" ht="16.5">
      <c r="A47" s="440" t="s">
        <v>270</v>
      </c>
      <c r="B47" s="655"/>
      <c r="C47" s="655"/>
      <c r="D47" s="655"/>
      <c r="E47" s="655"/>
      <c r="F47" s="655"/>
      <c r="G47" s="655"/>
      <c r="H47" s="655"/>
      <c r="I47" s="655"/>
      <c r="J47" s="655"/>
      <c r="K47" s="655"/>
      <c r="L47" s="655"/>
      <c r="M47" s="655"/>
      <c r="N47" s="659"/>
      <c r="O47" s="720"/>
      <c r="P47" s="720"/>
      <c r="Q47" s="720"/>
      <c r="R47" s="720"/>
      <c r="S47" s="720"/>
      <c r="T47" s="720"/>
      <c r="U47" s="720"/>
      <c r="V47" s="720"/>
      <c r="W47" s="720"/>
      <c r="X47" s="720"/>
      <c r="Y47" s="720"/>
      <c r="Z47" s="720"/>
      <c r="AA47" s="658">
        <f t="shared" si="34"/>
        <v>0</v>
      </c>
    </row>
    <row r="48" spans="1:27" ht="16.5">
      <c r="A48" s="676" t="s">
        <v>787</v>
      </c>
      <c r="B48">
        <v>0</v>
      </c>
      <c r="C48">
        <v>0</v>
      </c>
      <c r="D48">
        <v>0</v>
      </c>
      <c r="E48">
        <v>0</v>
      </c>
      <c r="F48">
        <v>0</v>
      </c>
      <c r="G48">
        <v>0</v>
      </c>
      <c r="H48">
        <v>0</v>
      </c>
      <c r="I48">
        <v>0</v>
      </c>
      <c r="J48">
        <v>0</v>
      </c>
      <c r="K48">
        <v>0</v>
      </c>
      <c r="L48">
        <v>0</v>
      </c>
      <c r="M48">
        <v>0</v>
      </c>
      <c r="N48">
        <v>0</v>
      </c>
      <c r="O48" s="788">
        <f>B48/(1-'F1.3'!J35)</f>
        <v>0</v>
      </c>
      <c r="P48" s="720"/>
      <c r="Q48" s="720"/>
      <c r="R48" s="720"/>
      <c r="S48" s="720"/>
      <c r="T48" s="720"/>
      <c r="U48" s="720"/>
      <c r="V48" s="720"/>
      <c r="W48" s="720"/>
      <c r="X48" s="720"/>
      <c r="Y48" s="720"/>
      <c r="Z48" s="720"/>
      <c r="AA48" s="658">
        <f t="shared" si="34"/>
        <v>0</v>
      </c>
    </row>
    <row r="49" spans="1:27" ht="16.5">
      <c r="A49" s="422" t="s">
        <v>765</v>
      </c>
      <c r="B49" s="656">
        <f>B36*1.01</f>
        <v>9.9779968663636365E-3</v>
      </c>
      <c r="C49" s="656">
        <f t="shared" ref="C49:M49" si="35">C36*1.01</f>
        <v>9.6541264301999996E-3</v>
      </c>
      <c r="D49" s="656">
        <f t="shared" si="35"/>
        <v>9.4817570729000024E-3</v>
      </c>
      <c r="E49" s="656">
        <f t="shared" si="35"/>
        <v>9.921901660100001E-3</v>
      </c>
      <c r="F49" s="656">
        <f t="shared" si="35"/>
        <v>7.3132825581999983E-3</v>
      </c>
      <c r="G49" s="656">
        <f t="shared" si="35"/>
        <v>6.9918286462E-3</v>
      </c>
      <c r="H49" s="656">
        <f t="shared" si="35"/>
        <v>1.5269885060799999E-2</v>
      </c>
      <c r="I49" s="656">
        <f t="shared" si="35"/>
        <v>9.8143382357000018E-3</v>
      </c>
      <c r="J49" s="656">
        <f t="shared" si="35"/>
        <v>1.1983636991200001E-2</v>
      </c>
      <c r="K49" s="656">
        <f t="shared" si="35"/>
        <v>9.135988057300001E-3</v>
      </c>
      <c r="L49" s="656">
        <f t="shared" si="35"/>
        <v>8.3602744344000012E-3</v>
      </c>
      <c r="M49" s="656">
        <f t="shared" si="35"/>
        <v>1.02742646021E-2</v>
      </c>
      <c r="N49" s="658">
        <f>SUM(B49:M49)</f>
        <v>0.11817928061546365</v>
      </c>
      <c r="O49" s="788">
        <f>B49/(1-'F1.3'!$J$32)</f>
        <v>1.0042267377580148E-2</v>
      </c>
      <c r="P49" s="788">
        <f>C49/(1-'F1.3'!$J$32)</f>
        <v>9.7163108194444434E-3</v>
      </c>
      <c r="Q49" s="788">
        <f>D49/(1-'F1.3'!$J$32)</f>
        <v>9.5428311925322088E-3</v>
      </c>
      <c r="R49" s="788">
        <f>E49/(1-'F1.3'!$J$32)</f>
        <v>9.9858108495370374E-3</v>
      </c>
      <c r="S49" s="788">
        <f>F49/(1-'F1.3'!$J$32)</f>
        <v>7.3603890481078885E-3</v>
      </c>
      <c r="T49" s="788">
        <f>G49/(1-'F1.3'!$J$32)</f>
        <v>7.0368645795088561E-3</v>
      </c>
      <c r="U49" s="788">
        <f>H49/(1-'F1.3'!$J$32)</f>
        <v>1.536824180837359E-2</v>
      </c>
      <c r="V49" s="788">
        <f>I49/(1-'F1.3'!$J$32)</f>
        <v>9.877554585044284E-3</v>
      </c>
      <c r="W49" s="788">
        <f>J49/(1-'F1.3'!$J$32)</f>
        <v>1.2060826279388084E-2</v>
      </c>
      <c r="X49" s="788">
        <f>K49/(1-'F1.3'!$J$32)</f>
        <v>9.1948350013083737E-3</v>
      </c>
      <c r="Y49" s="788">
        <f>L49/(1-'F1.3'!$J$32)</f>
        <v>8.4141248333333349E-3</v>
      </c>
      <c r="Z49" s="788">
        <f>M49/(1-'F1.3'!$J$32)</f>
        <v>1.0340443440116746E-2</v>
      </c>
      <c r="AA49" s="658">
        <f t="shared" si="34"/>
        <v>0.11894049981427499</v>
      </c>
    </row>
    <row r="50" spans="1:27" ht="16.5">
      <c r="A50" s="422" t="s">
        <v>766</v>
      </c>
      <c r="B50" s="656">
        <f t="shared" ref="B50:B52" si="36">B37*1.01</f>
        <v>1.6949388087272723E-2</v>
      </c>
      <c r="C50" s="656">
        <f t="shared" ref="C50:M50" si="37">C37*1.01</f>
        <v>2.1199473375999998E-2</v>
      </c>
      <c r="D50" s="656">
        <f t="shared" si="37"/>
        <v>2.5376931810600002E-2</v>
      </c>
      <c r="E50" s="656">
        <f t="shared" si="37"/>
        <v>2.9713983870099998E-2</v>
      </c>
      <c r="F50" s="656">
        <f t="shared" si="37"/>
        <v>2.7846872397900003E-2</v>
      </c>
      <c r="G50" s="656">
        <f t="shared" si="37"/>
        <v>4.0422829433999996E-2</v>
      </c>
      <c r="H50" s="656">
        <f t="shared" si="37"/>
        <v>2.4251637058400003E-2</v>
      </c>
      <c r="I50" s="656">
        <f t="shared" si="37"/>
        <v>2.3019500092499999E-2</v>
      </c>
      <c r="J50" s="656">
        <f t="shared" si="37"/>
        <v>2.6219099848000003E-2</v>
      </c>
      <c r="K50" s="656">
        <f t="shared" si="37"/>
        <v>1.8801447798500001E-2</v>
      </c>
      <c r="L50" s="656">
        <f t="shared" si="37"/>
        <v>2.4543418301599999E-2</v>
      </c>
      <c r="M50" s="656">
        <f t="shared" si="37"/>
        <v>3.1734713221400007E-2</v>
      </c>
      <c r="N50" s="658">
        <f t="shared" ref="N50:N52" si="38">SUM(B50:M50)</f>
        <v>0.31007929529627276</v>
      </c>
      <c r="O50" s="788">
        <f>B50/(1-'F1.3'!$J$32)</f>
        <v>1.7058562889767231E-2</v>
      </c>
      <c r="P50" s="788">
        <f>C50/(1-'F1.3'!$J$32)</f>
        <v>2.1336023929146537E-2</v>
      </c>
      <c r="Q50" s="788">
        <f>D50/(1-'F1.3'!$J$32)</f>
        <v>2.5540390308574881E-2</v>
      </c>
      <c r="R50" s="788">
        <f>E50/(1-'F1.3'!$J$32)</f>
        <v>2.9905378291163444E-2</v>
      </c>
      <c r="S50" s="788">
        <f>F50/(1-'F1.3'!$J$32)</f>
        <v>2.8026240336050726E-2</v>
      </c>
      <c r="T50" s="788">
        <f>G50/(1-'F1.3'!$J$32)</f>
        <v>4.0683201926328495E-2</v>
      </c>
      <c r="U50" s="788">
        <f>H50/(1-'F1.3'!$J$32)</f>
        <v>2.4407847280998391E-2</v>
      </c>
      <c r="V50" s="788">
        <f>I50/(1-'F1.3'!$J$32)</f>
        <v>2.3167773845108694E-2</v>
      </c>
      <c r="W50" s="788">
        <f>J50/(1-'F1.3'!$J$32)</f>
        <v>2.6387982938808376E-2</v>
      </c>
      <c r="X50" s="788">
        <f>K50/(1-'F1.3'!$J$32)</f>
        <v>1.8922552132145734E-2</v>
      </c>
      <c r="Y50" s="788">
        <f>L50/(1-'F1.3'!$J$32)</f>
        <v>2.4701507952495972E-2</v>
      </c>
      <c r="Z50" s="788">
        <f>M50/(1-'F1.3'!$J$32)</f>
        <v>3.1939123612520132E-2</v>
      </c>
      <c r="AA50" s="658">
        <f t="shared" si="34"/>
        <v>0.31207658544310868</v>
      </c>
    </row>
    <row r="51" spans="1:27" ht="16.5">
      <c r="A51" s="425" t="s">
        <v>969</v>
      </c>
      <c r="B51" s="656">
        <f t="shared" si="36"/>
        <v>2.1686899412727272E-2</v>
      </c>
      <c r="C51" s="656">
        <f t="shared" ref="C51:M51" si="39">C38*1.01</f>
        <v>2.3396281168199997E-2</v>
      </c>
      <c r="D51" s="656">
        <f t="shared" si="39"/>
        <v>2.2875360982600002E-2</v>
      </c>
      <c r="E51" s="656">
        <f t="shared" si="39"/>
        <v>2.4195691714100003E-2</v>
      </c>
      <c r="F51" s="656">
        <f t="shared" si="39"/>
        <v>2.47719390634E-2</v>
      </c>
      <c r="G51" s="656">
        <f t="shared" si="39"/>
        <v>2.29078154641E-2</v>
      </c>
      <c r="H51" s="656">
        <f t="shared" si="39"/>
        <v>2.699584377189999E-2</v>
      </c>
      <c r="I51" s="656">
        <f t="shared" si="39"/>
        <v>2.6216111975099998E-2</v>
      </c>
      <c r="J51" s="656">
        <f t="shared" si="39"/>
        <v>2.6840577411200005E-2</v>
      </c>
      <c r="K51" s="656">
        <f t="shared" si="39"/>
        <v>2.7489460980999997E-2</v>
      </c>
      <c r="L51" s="656">
        <f t="shared" si="39"/>
        <v>2.6019633574400004E-2</v>
      </c>
      <c r="M51" s="656">
        <f t="shared" si="39"/>
        <v>3.0657121405500004E-2</v>
      </c>
      <c r="N51" s="658">
        <f t="shared" si="38"/>
        <v>0.30405273692422718</v>
      </c>
      <c r="O51" s="788">
        <f>B51/(1-'F1.3'!$J$32)</f>
        <v>2.1826589586078173E-2</v>
      </c>
      <c r="P51" s="788">
        <f>C51/(1-'F1.3'!$J$32)</f>
        <v>2.3546981852053134E-2</v>
      </c>
      <c r="Q51" s="788">
        <f>D51/(1-'F1.3'!$J$32)</f>
        <v>2.302270630293881E-2</v>
      </c>
      <c r="R51" s="788">
        <f>E51/(1-'F1.3'!$J$32)</f>
        <v>2.4351541580213368E-2</v>
      </c>
      <c r="S51" s="788">
        <f>F51/(1-'F1.3'!$J$32)</f>
        <v>2.4931500667673107E-2</v>
      </c>
      <c r="T51" s="788">
        <f>G51/(1-'F1.3'!$J$32)</f>
        <v>2.3055369831018517E-2</v>
      </c>
      <c r="U51" s="788">
        <f>H51/(1-'F1.3'!$J$32)</f>
        <v>2.7169730044182758E-2</v>
      </c>
      <c r="V51" s="788">
        <f>I51/(1-'F1.3'!$J$32)</f>
        <v>2.6384975820350237E-2</v>
      </c>
      <c r="W51" s="788">
        <f>J51/(1-'F1.3'!$J$32)</f>
        <v>2.7013463578099844E-2</v>
      </c>
      <c r="X51" s="788">
        <f>K51/(1-'F1.3'!$J$32)</f>
        <v>2.7666526752214166E-2</v>
      </c>
      <c r="Y51" s="788">
        <f>L51/(1-'F1.3'!$J$32)</f>
        <v>2.6187231858293077E-2</v>
      </c>
      <c r="Z51" s="788">
        <f>M51/(1-'F1.3'!$J$32)</f>
        <v>3.0854590786533818E-2</v>
      </c>
      <c r="AA51" s="658">
        <f t="shared" si="34"/>
        <v>0.30601120865964898</v>
      </c>
    </row>
    <row r="52" spans="1:27" ht="16.5">
      <c r="A52" s="425" t="s">
        <v>970</v>
      </c>
      <c r="B52" s="656">
        <f t="shared" si="36"/>
        <v>0.45911430188454549</v>
      </c>
      <c r="C52" s="656">
        <f t="shared" ref="C52:M52" si="40">C39*1.01</f>
        <v>0.48169044472400002</v>
      </c>
      <c r="D52" s="656">
        <f t="shared" si="40"/>
        <v>0.47792366426800004</v>
      </c>
      <c r="E52" s="656">
        <f t="shared" si="40"/>
        <v>0.47237446308200004</v>
      </c>
      <c r="F52" s="656">
        <f t="shared" si="40"/>
        <v>0.51698855698400015</v>
      </c>
      <c r="G52" s="656">
        <f t="shared" si="40"/>
        <v>0.57991457177036998</v>
      </c>
      <c r="H52" s="656">
        <f t="shared" si="40"/>
        <v>0.58600017856599995</v>
      </c>
      <c r="I52" s="656">
        <f t="shared" si="40"/>
        <v>0.55816350614800003</v>
      </c>
      <c r="J52" s="656">
        <f t="shared" si="40"/>
        <v>0.57670686354599998</v>
      </c>
      <c r="K52" s="656">
        <f t="shared" si="40"/>
        <v>0.55996859350000006</v>
      </c>
      <c r="L52" s="656">
        <f t="shared" si="40"/>
        <v>0.56627609622200015</v>
      </c>
      <c r="M52" s="656">
        <f t="shared" si="40"/>
        <v>0.631077907918</v>
      </c>
      <c r="N52" s="658">
        <f t="shared" si="38"/>
        <v>6.4661991486129153</v>
      </c>
      <c r="O52" s="788">
        <f>B52/(1-'F1.3'!$J$32)</f>
        <v>0.46207155986769877</v>
      </c>
      <c r="P52" s="788">
        <f>C52/(1-'F1.3'!$J$32)</f>
        <v>0.4847931206964573</v>
      </c>
      <c r="Q52" s="788">
        <f>D52/(1-'F1.3'!$J$32)</f>
        <v>0.48100207756441227</v>
      </c>
      <c r="R52" s="788">
        <f>E52/(1-'F1.3'!$J$32)</f>
        <v>0.47541713273148151</v>
      </c>
      <c r="S52" s="788">
        <f>F52/(1-'F1.3'!$J$32)</f>
        <v>0.52031859599838981</v>
      </c>
      <c r="T52" s="788">
        <f>G52/(1-'F1.3'!$J$32)</f>
        <v>0.58364993133088761</v>
      </c>
      <c r="U52" s="788">
        <f>H52/(1-'F1.3'!$J$32)</f>
        <v>0.58977473688204507</v>
      </c>
      <c r="V52" s="788">
        <f>I52/(1-'F1.3'!$J$32)</f>
        <v>0.56175876222624799</v>
      </c>
      <c r="W52" s="788">
        <f>J52/(1-'F1.3'!$J$32)</f>
        <v>0.58042156153985502</v>
      </c>
      <c r="X52" s="788">
        <f>K52/(1-'F1.3'!$J$32)</f>
        <v>0.56357547654991957</v>
      </c>
      <c r="Y52" s="788">
        <f>L52/(1-'F1.3'!$J$32)</f>
        <v>0.56992360730877634</v>
      </c>
      <c r="Z52" s="788">
        <f>M52/(1-'F1.3'!$J$32)</f>
        <v>0.63514282197866345</v>
      </c>
      <c r="AA52" s="658">
        <f t="shared" si="34"/>
        <v>6.5078493846748344</v>
      </c>
    </row>
    <row r="53" spans="1:27" ht="15">
      <c r="A53" s="426" t="s">
        <v>115</v>
      </c>
      <c r="B53" s="678">
        <f>SUM(B45:B52)</f>
        <v>9.4563556918521812</v>
      </c>
      <c r="C53" s="678">
        <f t="shared" ref="C53:O53" si="41">SUM(C45:C52)</f>
        <v>9.602734321532262</v>
      </c>
      <c r="D53" s="678">
        <f t="shared" si="41"/>
        <v>9.4222769897833185</v>
      </c>
      <c r="E53" s="678">
        <f t="shared" si="41"/>
        <v>9.7168533037190006</v>
      </c>
      <c r="F53" s="678">
        <f t="shared" si="41"/>
        <v>9.4247675980046601</v>
      </c>
      <c r="G53" s="678">
        <f t="shared" si="41"/>
        <v>9.4314992299478817</v>
      </c>
      <c r="H53" s="678">
        <f t="shared" si="41"/>
        <v>9.9154152122544499</v>
      </c>
      <c r="I53" s="678">
        <f t="shared" si="41"/>
        <v>9.2283041193274578</v>
      </c>
      <c r="J53" s="678">
        <f t="shared" si="41"/>
        <v>9.1189007363750498</v>
      </c>
      <c r="K53" s="678">
        <f t="shared" si="41"/>
        <v>8.6576369129008022</v>
      </c>
      <c r="L53" s="678">
        <f t="shared" si="41"/>
        <v>8.7620856641830986</v>
      </c>
      <c r="M53" s="678">
        <f t="shared" si="41"/>
        <v>9.6337294798619997</v>
      </c>
      <c r="N53" s="658">
        <f>SUM(N45:N52)</f>
        <v>112.37055925974217</v>
      </c>
      <c r="O53" s="678">
        <f t="shared" si="41"/>
        <v>9.5172661955034048</v>
      </c>
      <c r="P53" s="678">
        <f t="shared" ref="P53" si="42">SUM(P45:P52)</f>
        <v>9.6645876827015496</v>
      </c>
      <c r="Q53" s="678">
        <f t="shared" ref="Q53" si="43">SUM(Q45:Q52)</f>
        <v>9.4829679848865922</v>
      </c>
      <c r="R53" s="678">
        <f t="shared" ref="R53" si="44">SUM(R45:R52)</f>
        <v>9.7794417307960959</v>
      </c>
      <c r="S53" s="678">
        <f t="shared" ref="S53" si="45">SUM(S45:S52)</f>
        <v>9.4854746356729649</v>
      </c>
      <c r="T53" s="678">
        <f t="shared" ref="T53" si="46">SUM(T45:T52)</f>
        <v>9.4922496275642914</v>
      </c>
      <c r="U53" s="678">
        <f t="shared" ref="U53" si="47">SUM(U45:U52)</f>
        <v>9.9792826210290357</v>
      </c>
      <c r="V53" s="678">
        <f t="shared" ref="V53" si="48">SUM(V45:V52)</f>
        <v>9.2877456917546866</v>
      </c>
      <c r="W53" s="678">
        <f t="shared" ref="W53" si="49">SUM(W45:W52)</f>
        <v>9.177637617124649</v>
      </c>
      <c r="X53" s="678">
        <f t="shared" ref="X53" si="50">SUM(X45:X52)</f>
        <v>8.7134026901175528</v>
      </c>
      <c r="Y53" s="678">
        <f t="shared" ref="Y53" si="51">SUM(Y45:Y52)</f>
        <v>8.8185242191858908</v>
      </c>
      <c r="Z53" s="678">
        <f t="shared" ref="Z53:AA53" si="52">SUM(Z45:Z52)</f>
        <v>9.6957824877838146</v>
      </c>
      <c r="AA53" s="678">
        <f t="shared" si="52"/>
        <v>113.09436318412054</v>
      </c>
    </row>
    <row r="55" spans="1:27">
      <c r="A55" s="1583" t="s">
        <v>966</v>
      </c>
      <c r="B55" s="1583"/>
      <c r="C55" s="1583"/>
      <c r="D55" s="1583"/>
    </row>
    <row r="56" spans="1:27" ht="15">
      <c r="A56" s="430" t="s">
        <v>252</v>
      </c>
      <c r="B56" s="427" t="s">
        <v>751</v>
      </c>
      <c r="C56" s="427" t="s">
        <v>119</v>
      </c>
      <c r="D56" s="652" t="s">
        <v>752</v>
      </c>
      <c r="E56" s="427" t="s">
        <v>753</v>
      </c>
      <c r="F56" s="427" t="s">
        <v>754</v>
      </c>
      <c r="G56" s="427" t="s">
        <v>755</v>
      </c>
      <c r="H56" s="427" t="s">
        <v>756</v>
      </c>
      <c r="I56" s="427" t="s">
        <v>757</v>
      </c>
      <c r="J56" s="427" t="s">
        <v>758</v>
      </c>
      <c r="K56" s="427" t="s">
        <v>759</v>
      </c>
      <c r="L56" s="427" t="s">
        <v>760</v>
      </c>
      <c r="M56" s="427" t="s">
        <v>761</v>
      </c>
      <c r="N56" s="427" t="s">
        <v>115</v>
      </c>
      <c r="O56" s="674" t="s">
        <v>968</v>
      </c>
      <c r="P56" s="675"/>
    </row>
    <row r="57" spans="1:27" ht="16.5">
      <c r="A57" s="439" t="s">
        <v>267</v>
      </c>
      <c r="B57" s="655"/>
      <c r="C57" s="655"/>
      <c r="D57" s="655"/>
      <c r="E57" s="655"/>
      <c r="F57" s="655"/>
      <c r="G57" s="655"/>
      <c r="H57" s="655"/>
      <c r="I57" s="655"/>
      <c r="J57" s="655"/>
      <c r="K57" s="655"/>
      <c r="L57" s="655"/>
      <c r="M57" s="655"/>
      <c r="N57" s="655"/>
    </row>
    <row r="58" spans="1:27" ht="16.5">
      <c r="A58" s="422" t="s">
        <v>763</v>
      </c>
      <c r="B58" s="656">
        <f>(B45*1.01)+0.5</f>
        <v>9.3058239357481956</v>
      </c>
      <c r="C58" s="656">
        <f t="shared" ref="C58:M58" si="53">(C45*1.01)+0.5</f>
        <v>9.4886505357921997</v>
      </c>
      <c r="D58" s="656">
        <f t="shared" si="53"/>
        <v>9.3167504121857121</v>
      </c>
      <c r="E58" s="656">
        <f t="shared" si="53"/>
        <v>9.6138423159266289</v>
      </c>
      <c r="F58" s="656">
        <f t="shared" si="53"/>
        <v>9.2773843000511711</v>
      </c>
      <c r="G58" s="656">
        <f t="shared" si="53"/>
        <v>9.2097627816995438</v>
      </c>
      <c r="H58" s="656">
        <f t="shared" si="53"/>
        <v>9.6950194705353248</v>
      </c>
      <c r="I58" s="656">
        <f t="shared" si="53"/>
        <v>9.0373950002449206</v>
      </c>
      <c r="J58" s="656">
        <f t="shared" si="53"/>
        <v>8.9024864032644366</v>
      </c>
      <c r="K58" s="656">
        <f t="shared" si="53"/>
        <v>8.464787908789642</v>
      </c>
      <c r="L58" s="656">
        <f t="shared" si="53"/>
        <v>8.563725104067208</v>
      </c>
      <c r="M58" s="656">
        <f t="shared" si="53"/>
        <v>9.3647553274421487</v>
      </c>
      <c r="N58" s="658">
        <f>SUM(B58:M58)</f>
        <v>110.24038349574712</v>
      </c>
      <c r="O58" s="788">
        <f>B58/(1-'F1.3'!$J$38)</f>
        <v>9.3657648306644479</v>
      </c>
      <c r="P58" s="788">
        <f>C58/(1-'F1.3'!$J$38)</f>
        <v>9.5497690577618748</v>
      </c>
      <c r="Q58" s="788">
        <f>D58/(1-'F1.3'!$J$38)</f>
        <v>9.3767616869823982</v>
      </c>
      <c r="R58" s="788">
        <f>E58/(1-'F1.3'!$J$38)</f>
        <v>9.675767226174143</v>
      </c>
      <c r="S58" s="788">
        <f>F58/(1-'F1.3'!$J$38)</f>
        <v>9.3371420089081827</v>
      </c>
      <c r="T58" s="788">
        <f>G58/(1-'F1.3'!$J$38)</f>
        <v>9.2690849252209571</v>
      </c>
      <c r="U58" s="788">
        <f>H58/(1-'F1.3'!$J$38)</f>
        <v>9.7574672610057611</v>
      </c>
      <c r="V58" s="788">
        <f>I58/(1-'F1.3'!$J$38)</f>
        <v>9.0956068843044697</v>
      </c>
      <c r="W58" s="788">
        <f>J58/(1-'F1.3'!$J$38)</f>
        <v>8.9598293108539018</v>
      </c>
      <c r="X58" s="788">
        <f>K58/(1-'F1.3'!$J$38)</f>
        <v>8.5193115024050332</v>
      </c>
      <c r="Y58" s="788">
        <f>L58/(1-'F1.3'!$J$38)</f>
        <v>8.6188859743027457</v>
      </c>
      <c r="Z58" s="788">
        <f>M58/(1-'F1.3'!$J$38)</f>
        <v>9.4250758126430636</v>
      </c>
      <c r="AA58" s="658">
        <f>SUM(O58:Z58)</f>
        <v>110.95046648122698</v>
      </c>
    </row>
    <row r="59" spans="1:27" ht="16.5">
      <c r="A59" s="422" t="s">
        <v>764</v>
      </c>
      <c r="B59" s="663">
        <v>0</v>
      </c>
      <c r="C59" s="663">
        <v>0</v>
      </c>
      <c r="D59" s="663">
        <v>0</v>
      </c>
      <c r="E59" s="663">
        <v>0</v>
      </c>
      <c r="F59" s="663">
        <v>0</v>
      </c>
      <c r="G59" s="663">
        <v>0</v>
      </c>
      <c r="H59" s="663">
        <v>0</v>
      </c>
      <c r="I59" s="663">
        <v>0</v>
      </c>
      <c r="J59" s="663">
        <v>0</v>
      </c>
      <c r="K59" s="663">
        <v>0</v>
      </c>
      <c r="L59" s="663">
        <v>0</v>
      </c>
      <c r="M59" s="663">
        <v>0</v>
      </c>
      <c r="N59" s="664">
        <f>SUM(B59:M59)</f>
        <v>0</v>
      </c>
      <c r="O59" s="788">
        <f>B59/(1-'F1.3'!$J$38)</f>
        <v>0</v>
      </c>
      <c r="P59" s="788">
        <f>C59/(1-'F1.3'!$J$38)</f>
        <v>0</v>
      </c>
      <c r="Q59" s="788">
        <f>D59/(1-'F1.3'!$J$38)</f>
        <v>0</v>
      </c>
      <c r="R59" s="788">
        <f>E59/(1-'F1.3'!$J$38)</f>
        <v>0</v>
      </c>
      <c r="S59" s="788">
        <f>F59/(1-'F1.3'!$J$38)</f>
        <v>0</v>
      </c>
      <c r="T59" s="788">
        <f>G59/(1-'F1.3'!$J$38)</f>
        <v>0</v>
      </c>
      <c r="U59" s="788">
        <f>H59/(1-'F1.3'!$J$38)</f>
        <v>0</v>
      </c>
      <c r="V59" s="788">
        <f>I59/(1-'F1.3'!$J$38)</f>
        <v>0</v>
      </c>
      <c r="W59" s="788">
        <f>J59/(1-'F1.3'!$J$38)</f>
        <v>0</v>
      </c>
      <c r="X59" s="788">
        <f>K59/(1-'F1.3'!$J$38)</f>
        <v>0</v>
      </c>
      <c r="Y59" s="788">
        <f>L59/(1-'F1.3'!$J$38)</f>
        <v>0</v>
      </c>
      <c r="Z59" s="788">
        <f>M59/(1-'F1.3'!$J$38)</f>
        <v>0</v>
      </c>
      <c r="AA59" s="658">
        <f t="shared" ref="AA59:AA65" si="54">SUM(O59:Z59)</f>
        <v>0</v>
      </c>
    </row>
    <row r="60" spans="1:27" ht="16.5">
      <c r="A60" s="440" t="s">
        <v>270</v>
      </c>
      <c r="B60" s="655"/>
      <c r="C60" s="655"/>
      <c r="D60" s="655"/>
      <c r="E60" s="655"/>
      <c r="F60" s="655"/>
      <c r="G60" s="655"/>
      <c r="H60" s="655"/>
      <c r="I60" s="655"/>
      <c r="J60" s="655"/>
      <c r="K60" s="655"/>
      <c r="L60" s="655"/>
      <c r="M60" s="655"/>
      <c r="N60" s="655"/>
      <c r="O60" s="720"/>
      <c r="P60" s="720"/>
      <c r="Q60" s="720"/>
      <c r="R60" s="720"/>
      <c r="S60" s="720"/>
      <c r="T60" s="720"/>
      <c r="U60" s="720"/>
      <c r="V60" s="720"/>
      <c r="W60" s="720"/>
      <c r="X60" s="720"/>
      <c r="Y60" s="720"/>
      <c r="Z60" s="720"/>
      <c r="AA60" s="658">
        <f t="shared" si="54"/>
        <v>0</v>
      </c>
    </row>
    <row r="61" spans="1:27" ht="16.5">
      <c r="A61" s="676" t="s">
        <v>787</v>
      </c>
      <c r="B61" s="655">
        <v>0</v>
      </c>
      <c r="C61" s="655">
        <v>0</v>
      </c>
      <c r="D61" s="655">
        <v>0</v>
      </c>
      <c r="E61" s="655">
        <v>0</v>
      </c>
      <c r="F61" s="655">
        <v>0</v>
      </c>
      <c r="G61" s="655">
        <v>0</v>
      </c>
      <c r="H61" s="655">
        <v>0</v>
      </c>
      <c r="I61" s="655">
        <v>0</v>
      </c>
      <c r="J61" s="655">
        <v>0</v>
      </c>
      <c r="K61" s="655">
        <v>0</v>
      </c>
      <c r="L61" s="655">
        <v>0</v>
      </c>
      <c r="M61" s="655">
        <v>0</v>
      </c>
      <c r="N61" s="655">
        <v>0</v>
      </c>
      <c r="O61" s="788">
        <f>B61/(1-'F1.3'!$J$38)</f>
        <v>0</v>
      </c>
      <c r="P61" s="788">
        <f>C61/(1-'F1.3'!$J$38)</f>
        <v>0</v>
      </c>
      <c r="Q61" s="788">
        <f>D61/(1-'F1.3'!$J$38)</f>
        <v>0</v>
      </c>
      <c r="R61" s="788">
        <f>E61/(1-'F1.3'!$J$38)</f>
        <v>0</v>
      </c>
      <c r="S61" s="788">
        <f>F61/(1-'F1.3'!$J$38)</f>
        <v>0</v>
      </c>
      <c r="T61" s="788">
        <f>G61/(1-'F1.3'!$J$38)</f>
        <v>0</v>
      </c>
      <c r="U61" s="788">
        <f>H61/(1-'F1.3'!$J$38)</f>
        <v>0</v>
      </c>
      <c r="V61" s="788">
        <f>I61/(1-'F1.3'!$J$38)</f>
        <v>0</v>
      </c>
      <c r="W61" s="788">
        <f>J61/(1-'F1.3'!$J$38)</f>
        <v>0</v>
      </c>
      <c r="X61" s="788">
        <f>K61/(1-'F1.3'!$J$38)</f>
        <v>0</v>
      </c>
      <c r="Y61" s="788">
        <f>L61/(1-'F1.3'!$J$38)</f>
        <v>0</v>
      </c>
      <c r="Z61" s="788">
        <f>M61/(1-'F1.3'!$J$38)</f>
        <v>0</v>
      </c>
      <c r="AA61" s="658">
        <f t="shared" si="54"/>
        <v>0</v>
      </c>
    </row>
    <row r="62" spans="1:27" ht="16.5">
      <c r="A62" s="422" t="s">
        <v>765</v>
      </c>
      <c r="B62" s="656">
        <f t="shared" ref="B62:M62" si="55">B49*1.01</f>
        <v>1.0077776835027273E-2</v>
      </c>
      <c r="C62" s="656">
        <f t="shared" si="55"/>
        <v>9.7506676945020004E-3</v>
      </c>
      <c r="D62" s="656">
        <f t="shared" si="55"/>
        <v>9.5765746436290017E-3</v>
      </c>
      <c r="E62" s="656">
        <f t="shared" si="55"/>
        <v>1.0021120676701E-2</v>
      </c>
      <c r="F62" s="656">
        <f t="shared" si="55"/>
        <v>7.3864153837819987E-3</v>
      </c>
      <c r="G62" s="656">
        <f t="shared" si="55"/>
        <v>7.0617469326620004E-3</v>
      </c>
      <c r="H62" s="656">
        <f t="shared" si="55"/>
        <v>1.5422583911408E-2</v>
      </c>
      <c r="I62" s="656">
        <f t="shared" si="55"/>
        <v>9.9124816180570022E-3</v>
      </c>
      <c r="J62" s="656">
        <f t="shared" si="55"/>
        <v>1.2103473361112001E-2</v>
      </c>
      <c r="K62" s="656">
        <f t="shared" si="55"/>
        <v>9.2273479378730018E-3</v>
      </c>
      <c r="L62" s="656">
        <f t="shared" si="55"/>
        <v>8.4438771787440012E-3</v>
      </c>
      <c r="M62" s="656">
        <f t="shared" si="55"/>
        <v>1.0377007248121E-2</v>
      </c>
      <c r="N62" s="658">
        <f>SUM(B62:M62)</f>
        <v>0.11936107342161829</v>
      </c>
      <c r="O62" s="788">
        <f>B62/(1-'F1.3'!$J$38)</f>
        <v>1.014269005135595E-2</v>
      </c>
      <c r="P62" s="788">
        <f>C62/(1-'F1.3'!$J$38)</f>
        <v>9.813473927638889E-3</v>
      </c>
      <c r="Q62" s="788">
        <f>D62/(1-'F1.3'!$J$38)</f>
        <v>9.6382595044575293E-3</v>
      </c>
      <c r="R62" s="788">
        <f>E62/(1-'F1.3'!$J$38)</f>
        <v>1.0085668958032408E-2</v>
      </c>
      <c r="S62" s="788">
        <f>F62/(1-'F1.3'!$J$38)</f>
        <v>7.4339929385889682E-3</v>
      </c>
      <c r="T62" s="788">
        <f>G62/(1-'F1.3'!$J$38)</f>
        <v>7.1072332253039458E-3</v>
      </c>
      <c r="U62" s="788">
        <f>H62/(1-'F1.3'!$J$38)</f>
        <v>1.5521924226457326E-2</v>
      </c>
      <c r="V62" s="788">
        <f>I62/(1-'F1.3'!$J$38)</f>
        <v>9.9763301308947276E-3</v>
      </c>
      <c r="W62" s="788">
        <f>J62/(1-'F1.3'!$J$38)</f>
        <v>1.2181434542181966E-2</v>
      </c>
      <c r="X62" s="788">
        <f>K62/(1-'F1.3'!$J$38)</f>
        <v>9.2867833513214596E-3</v>
      </c>
      <c r="Y62" s="788">
        <f>L62/(1-'F1.3'!$J$38)</f>
        <v>8.4982660816666673E-3</v>
      </c>
      <c r="Z62" s="788">
        <f>M62/(1-'F1.3'!$J$38)</f>
        <v>1.0443847874517914E-2</v>
      </c>
      <c r="AA62" s="658">
        <f t="shared" si="54"/>
        <v>0.12012990481241777</v>
      </c>
    </row>
    <row r="63" spans="1:27" ht="16.5">
      <c r="A63" s="422" t="s">
        <v>766</v>
      </c>
      <c r="B63" s="656">
        <f t="shared" ref="B63:M63" si="56">B50*1.01</f>
        <v>1.7118881968145452E-2</v>
      </c>
      <c r="C63" s="656">
        <f t="shared" si="56"/>
        <v>2.1411468109759999E-2</v>
      </c>
      <c r="D63" s="656">
        <f t="shared" si="56"/>
        <v>2.5630701128706003E-2</v>
      </c>
      <c r="E63" s="656">
        <f t="shared" si="56"/>
        <v>3.0011123708800998E-2</v>
      </c>
      <c r="F63" s="656">
        <f t="shared" si="56"/>
        <v>2.8125341121879002E-2</v>
      </c>
      <c r="G63" s="656">
        <f t="shared" si="56"/>
        <v>4.0827057728339999E-2</v>
      </c>
      <c r="H63" s="656">
        <f t="shared" si="56"/>
        <v>2.4494153428984002E-2</v>
      </c>
      <c r="I63" s="656">
        <f t="shared" si="56"/>
        <v>2.3249695093424998E-2</v>
      </c>
      <c r="J63" s="656">
        <f t="shared" si="56"/>
        <v>2.6481290846480002E-2</v>
      </c>
      <c r="K63" s="656">
        <f t="shared" si="56"/>
        <v>1.8989462276485E-2</v>
      </c>
      <c r="L63" s="656">
        <f t="shared" si="56"/>
        <v>2.4788852484616E-2</v>
      </c>
      <c r="M63" s="656">
        <f t="shared" si="56"/>
        <v>3.2052060353614006E-2</v>
      </c>
      <c r="N63" s="658">
        <f>SUM(B63:M63)</f>
        <v>0.31318008824923549</v>
      </c>
      <c r="O63" s="788">
        <f>B63/(1-'F1.3'!$J$38)</f>
        <v>1.7229148518664906E-2</v>
      </c>
      <c r="P63" s="788">
        <f>C63/(1-'F1.3'!$J$38)</f>
        <v>2.1549384168438001E-2</v>
      </c>
      <c r="Q63" s="788">
        <f>D63/(1-'F1.3'!$J$38)</f>
        <v>2.579579421166063E-2</v>
      </c>
      <c r="R63" s="788">
        <f>E63/(1-'F1.3'!$J$38)</f>
        <v>3.0204432074075076E-2</v>
      </c>
      <c r="S63" s="788">
        <f>F63/(1-'F1.3'!$J$38)</f>
        <v>2.8306502739411231E-2</v>
      </c>
      <c r="T63" s="788">
        <f>G63/(1-'F1.3'!$J$38)</f>
        <v>4.1090033945591783E-2</v>
      </c>
      <c r="U63" s="788">
        <f>H63/(1-'F1.3'!$J$38)</f>
        <v>2.4651925753808375E-2</v>
      </c>
      <c r="V63" s="788">
        <f>I63/(1-'F1.3'!$J$38)</f>
        <v>2.3399451583559779E-2</v>
      </c>
      <c r="W63" s="788">
        <f>J63/(1-'F1.3'!$J$38)</f>
        <v>2.665186276819646E-2</v>
      </c>
      <c r="X63" s="788">
        <f>K63/(1-'F1.3'!$J$38)</f>
        <v>1.911177765346719E-2</v>
      </c>
      <c r="Y63" s="788">
        <f>L63/(1-'F1.3'!$J$38)</f>
        <v>2.4948523032020935E-2</v>
      </c>
      <c r="Z63" s="788">
        <f>M63/(1-'F1.3'!$J$38)</f>
        <v>3.2258514848645337E-2</v>
      </c>
      <c r="AA63" s="658">
        <f t="shared" si="54"/>
        <v>0.31519735129753967</v>
      </c>
    </row>
    <row r="64" spans="1:27" ht="16.5">
      <c r="A64" s="425" t="s">
        <v>969</v>
      </c>
      <c r="B64" s="656">
        <f t="shared" ref="B64:M64" si="57">B51*1.01</f>
        <v>2.1903768406854544E-2</v>
      </c>
      <c r="C64" s="656">
        <f t="shared" si="57"/>
        <v>2.3630243979881997E-2</v>
      </c>
      <c r="D64" s="656">
        <f t="shared" si="57"/>
        <v>2.3104114592426003E-2</v>
      </c>
      <c r="E64" s="656">
        <f t="shared" si="57"/>
        <v>2.4437648631241003E-2</v>
      </c>
      <c r="F64" s="656">
        <f t="shared" si="57"/>
        <v>2.5019658454034002E-2</v>
      </c>
      <c r="G64" s="656">
        <f t="shared" si="57"/>
        <v>2.3136893618740998E-2</v>
      </c>
      <c r="H64" s="656">
        <f t="shared" si="57"/>
        <v>2.7265802209618991E-2</v>
      </c>
      <c r="I64" s="656">
        <f t="shared" si="57"/>
        <v>2.6478273094850999E-2</v>
      </c>
      <c r="J64" s="656">
        <f t="shared" si="57"/>
        <v>2.7108983185312005E-2</v>
      </c>
      <c r="K64" s="656">
        <f t="shared" si="57"/>
        <v>2.7764355590809996E-2</v>
      </c>
      <c r="L64" s="656">
        <f t="shared" si="57"/>
        <v>2.6279829910144003E-2</v>
      </c>
      <c r="M64" s="656">
        <f t="shared" si="57"/>
        <v>3.0963692619555006E-2</v>
      </c>
      <c r="N64" s="658">
        <f>SUM(B64:M64)</f>
        <v>0.30709326429346961</v>
      </c>
      <c r="O64" s="788">
        <f>B64/(1-'F1.3'!$J$38)</f>
        <v>2.2044855481938953E-2</v>
      </c>
      <c r="P64" s="788">
        <f>C64/(1-'F1.3'!$J$38)</f>
        <v>2.3782451670573669E-2</v>
      </c>
      <c r="Q64" s="788">
        <f>D64/(1-'F1.3'!$J$38)</f>
        <v>2.3252933365968197E-2</v>
      </c>
      <c r="R64" s="788">
        <f>E64/(1-'F1.3'!$J$38)</f>
        <v>2.45950569960155E-2</v>
      </c>
      <c r="S64" s="788">
        <f>F64/(1-'F1.3'!$J$38)</f>
        <v>2.5180815674349839E-2</v>
      </c>
      <c r="T64" s="788">
        <f>G64/(1-'F1.3'!$J$38)</f>
        <v>2.3285923529328702E-2</v>
      </c>
      <c r="U64" s="788">
        <f>H64/(1-'F1.3'!$J$38)</f>
        <v>2.7441427344624587E-2</v>
      </c>
      <c r="V64" s="788">
        <f>I64/(1-'F1.3'!$J$38)</f>
        <v>2.6648825578553741E-2</v>
      </c>
      <c r="W64" s="788">
        <f>J64/(1-'F1.3'!$J$38)</f>
        <v>2.7283598213880843E-2</v>
      </c>
      <c r="X64" s="788">
        <f>K64/(1-'F1.3'!$J$38)</f>
        <v>2.7943192019736308E-2</v>
      </c>
      <c r="Y64" s="788">
        <f>L64/(1-'F1.3'!$J$38)</f>
        <v>2.6449104176876008E-2</v>
      </c>
      <c r="Z64" s="788">
        <f>M64/(1-'F1.3'!$J$38)</f>
        <v>3.1163136694399157E-2</v>
      </c>
      <c r="AA64" s="658">
        <f t="shared" si="54"/>
        <v>0.30907132074624555</v>
      </c>
    </row>
    <row r="65" spans="1:27" ht="16.5">
      <c r="A65" s="425" t="s">
        <v>970</v>
      </c>
      <c r="B65" s="656">
        <f t="shared" ref="B65:M65" si="58">B52*1.01</f>
        <v>0.46370544490339094</v>
      </c>
      <c r="C65" s="656">
        <f t="shared" si="58"/>
        <v>0.48650734917124</v>
      </c>
      <c r="D65" s="656">
        <f t="shared" si="58"/>
        <v>0.48270290091068002</v>
      </c>
      <c r="E65" s="656">
        <f t="shared" si="58"/>
        <v>0.47709820771282002</v>
      </c>
      <c r="F65" s="656">
        <f t="shared" si="58"/>
        <v>0.52215844255384014</v>
      </c>
      <c r="G65" s="656">
        <f t="shared" si="58"/>
        <v>0.58571371748807366</v>
      </c>
      <c r="H65" s="656">
        <f t="shared" si="58"/>
        <v>0.59186018035165999</v>
      </c>
      <c r="I65" s="656">
        <f t="shared" si="58"/>
        <v>0.56374514120948005</v>
      </c>
      <c r="J65" s="656">
        <f t="shared" si="58"/>
        <v>0.58247393218146004</v>
      </c>
      <c r="K65" s="656">
        <f t="shared" si="58"/>
        <v>0.5655682794350001</v>
      </c>
      <c r="L65" s="656">
        <f t="shared" si="58"/>
        <v>0.57193885718422011</v>
      </c>
      <c r="M65" s="656">
        <f t="shared" si="58"/>
        <v>0.63738868699717999</v>
      </c>
      <c r="N65" s="658">
        <f>SUM(B65:M65)</f>
        <v>6.5308611400990451</v>
      </c>
      <c r="O65" s="788">
        <f>B65/(1-'F1.3'!$J$38)</f>
        <v>0.46669227546637571</v>
      </c>
      <c r="P65" s="788">
        <f>C65/(1-'F1.3'!$J$38)</f>
        <v>0.48964105190342189</v>
      </c>
      <c r="Q65" s="788">
        <f>D65/(1-'F1.3'!$J$38)</f>
        <v>0.48581209834005634</v>
      </c>
      <c r="R65" s="788">
        <f>E65/(1-'F1.3'!$J$38)</f>
        <v>0.48017130405879632</v>
      </c>
      <c r="S65" s="788">
        <f>F65/(1-'F1.3'!$J$38)</f>
        <v>0.52552178195837373</v>
      </c>
      <c r="T65" s="788">
        <f>G65/(1-'F1.3'!$J$38)</f>
        <v>0.58948643064419648</v>
      </c>
      <c r="U65" s="788">
        <f>H65/(1-'F1.3'!$J$38)</f>
        <v>0.5956724842508655</v>
      </c>
      <c r="V65" s="788">
        <f>I65/(1-'F1.3'!$J$38)</f>
        <v>0.56737634984851049</v>
      </c>
      <c r="W65" s="788">
        <f>J65/(1-'F1.3'!$J$38)</f>
        <v>0.58622577715525359</v>
      </c>
      <c r="X65" s="788">
        <f>K65/(1-'F1.3'!$J$38)</f>
        <v>0.56921123131541873</v>
      </c>
      <c r="Y65" s="788">
        <f>L65/(1-'F1.3'!$J$38)</f>
        <v>0.57562284338186398</v>
      </c>
      <c r="Z65" s="788">
        <f>M65/(1-'F1.3'!$J$38)</f>
        <v>0.64149425019845008</v>
      </c>
      <c r="AA65" s="658">
        <f t="shared" si="54"/>
        <v>6.5729278785215834</v>
      </c>
    </row>
    <row r="66" spans="1:27" ht="15">
      <c r="A66" s="426" t="s">
        <v>115</v>
      </c>
      <c r="B66" s="678">
        <f>SUM(B58:B65)</f>
        <v>9.8186298078616137</v>
      </c>
      <c r="C66" s="678">
        <f>SUM(C58:C65)</f>
        <v>10.029950264747585</v>
      </c>
      <c r="D66" s="678">
        <f t="shared" ref="D66:AA66" si="59">SUM(D58:D65)</f>
        <v>9.8577647034611537</v>
      </c>
      <c r="E66" s="678">
        <f t="shared" si="59"/>
        <v>10.155410416656192</v>
      </c>
      <c r="F66" s="678">
        <f t="shared" si="59"/>
        <v>9.8600741575647071</v>
      </c>
      <c r="G66" s="678">
        <f t="shared" si="59"/>
        <v>9.8665021974673603</v>
      </c>
      <c r="H66" s="678">
        <f t="shared" si="59"/>
        <v>10.354062190436995</v>
      </c>
      <c r="I66" s="678">
        <f t="shared" si="59"/>
        <v>9.6607805912607336</v>
      </c>
      <c r="J66" s="678">
        <f t="shared" si="59"/>
        <v>9.5506540828388005</v>
      </c>
      <c r="K66" s="678">
        <f t="shared" si="59"/>
        <v>9.0863373540298102</v>
      </c>
      <c r="L66" s="678">
        <f t="shared" si="59"/>
        <v>9.1951765208249316</v>
      </c>
      <c r="M66" s="678">
        <f t="shared" si="59"/>
        <v>10.075536774660618</v>
      </c>
      <c r="N66" s="678">
        <f t="shared" si="59"/>
        <v>117.5108790618105</v>
      </c>
      <c r="O66" s="678">
        <f t="shared" si="59"/>
        <v>9.8818738001827828</v>
      </c>
      <c r="P66" s="678">
        <f t="shared" si="59"/>
        <v>10.094555419431948</v>
      </c>
      <c r="Q66" s="678">
        <f t="shared" si="59"/>
        <v>9.9212607724045423</v>
      </c>
      <c r="R66" s="678">
        <f t="shared" si="59"/>
        <v>10.220823688261062</v>
      </c>
      <c r="S66" s="678">
        <f t="shared" si="59"/>
        <v>9.9235851022189063</v>
      </c>
      <c r="T66" s="678">
        <f t="shared" si="59"/>
        <v>9.930054546565378</v>
      </c>
      <c r="U66" s="678">
        <f t="shared" si="59"/>
        <v>10.420755022581517</v>
      </c>
      <c r="V66" s="678">
        <f t="shared" si="59"/>
        <v>9.7230078414459875</v>
      </c>
      <c r="W66" s="678">
        <f t="shared" si="59"/>
        <v>9.612171983533413</v>
      </c>
      <c r="X66" s="678">
        <f t="shared" si="59"/>
        <v>9.1448644867449769</v>
      </c>
      <c r="Y66" s="678">
        <f t="shared" si="59"/>
        <v>9.254404710975173</v>
      </c>
      <c r="Z66" s="678">
        <f t="shared" si="59"/>
        <v>10.140435562259077</v>
      </c>
      <c r="AA66" s="678">
        <f t="shared" si="59"/>
        <v>118.26779293660476</v>
      </c>
    </row>
    <row r="68" spans="1:27">
      <c r="A68" s="668"/>
    </row>
  </sheetData>
  <mergeCells count="4">
    <mergeCell ref="A16:D16"/>
    <mergeCell ref="A29:D29"/>
    <mergeCell ref="A42:D42"/>
    <mergeCell ref="A55:D55"/>
  </mergeCells>
  <pageMargins left="0.7" right="0.7" top="0.75" bottom="0.75" header="0.3" footer="0.3"/>
  <legacy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S140"/>
  <sheetViews>
    <sheetView zoomScale="60" zoomScaleNormal="60" workbookViewId="0">
      <selection activeCell="C17" sqref="C17"/>
    </sheetView>
  </sheetViews>
  <sheetFormatPr defaultColWidth="9.140625" defaultRowHeight="15"/>
  <cols>
    <col min="1" max="1" width="8.5703125" style="1298" customWidth="1"/>
    <col min="2" max="2" width="15.28515625" style="1298" bestFit="1" customWidth="1"/>
    <col min="3" max="3" width="15.140625" style="1299" bestFit="1" customWidth="1"/>
    <col min="4" max="4" width="12.7109375" style="1299" customWidth="1"/>
    <col min="5" max="5" width="7.7109375" style="1298" customWidth="1"/>
    <col min="6" max="6" width="11" style="1298" customWidth="1"/>
    <col min="7" max="7" width="13.5703125" style="1298" customWidth="1"/>
    <col min="8" max="8" width="15.85546875" style="1298" customWidth="1"/>
    <col min="9" max="9" width="20.28515625" style="1298" customWidth="1"/>
    <col min="10" max="10" width="15.140625" style="1298" bestFit="1" customWidth="1"/>
    <col min="11" max="11" width="9.140625" style="1298"/>
    <col min="12" max="12" width="24.7109375" style="1298" bestFit="1" customWidth="1"/>
    <col min="13" max="15" width="19.5703125" style="1298" customWidth="1"/>
    <col min="16" max="16" width="21" style="1298" customWidth="1"/>
    <col min="17" max="20" width="19.5703125" style="1298" customWidth="1"/>
    <col min="21" max="16384" width="9.140625" style="1298"/>
  </cols>
  <sheetData>
    <row r="1" spans="1:19">
      <c r="B1" s="852" t="s">
        <v>1022</v>
      </c>
      <c r="D1" s="852"/>
    </row>
    <row r="3" spans="1:19">
      <c r="B3" s="853" t="s">
        <v>1023</v>
      </c>
      <c r="C3" s="854" t="s">
        <v>1024</v>
      </c>
      <c r="D3" s="855"/>
      <c r="E3" s="856"/>
      <c r="F3" s="856"/>
      <c r="G3" s="857"/>
      <c r="H3" s="858"/>
      <c r="I3" s="1300"/>
    </row>
    <row r="4" spans="1:19" ht="30">
      <c r="A4" s="859" t="s">
        <v>1025</v>
      </c>
      <c r="B4" s="859" t="s">
        <v>1026</v>
      </c>
      <c r="C4" s="860" t="s">
        <v>1027</v>
      </c>
      <c r="D4" s="860" t="s">
        <v>1028</v>
      </c>
      <c r="E4" s="861" t="s">
        <v>1029</v>
      </c>
      <c r="F4" s="862" t="s">
        <v>1030</v>
      </c>
      <c r="G4" s="859" t="s">
        <v>1031</v>
      </c>
      <c r="H4" s="859" t="s">
        <v>1032</v>
      </c>
      <c r="I4" s="859" t="s">
        <v>1033</v>
      </c>
      <c r="J4" s="863" t="s">
        <v>1034</v>
      </c>
      <c r="L4" s="859" t="s">
        <v>49</v>
      </c>
      <c r="M4" s="859" t="s">
        <v>38</v>
      </c>
      <c r="N4" s="859" t="s">
        <v>146</v>
      </c>
      <c r="O4" s="859" t="s">
        <v>1035</v>
      </c>
      <c r="P4" s="859" t="s">
        <v>1036</v>
      </c>
      <c r="Q4" s="859" t="s">
        <v>147</v>
      </c>
      <c r="R4" s="859" t="s">
        <v>148</v>
      </c>
      <c r="S4" s="859" t="s">
        <v>149</v>
      </c>
    </row>
    <row r="5" spans="1:19">
      <c r="A5" s="1301" t="s">
        <v>1037</v>
      </c>
      <c r="B5" s="1302">
        <v>621000000</v>
      </c>
      <c r="C5" s="1303">
        <v>42143</v>
      </c>
      <c r="D5" s="1303">
        <v>42169</v>
      </c>
      <c r="E5" s="1302">
        <f>+D5-C5+1</f>
        <v>27</v>
      </c>
      <c r="F5" s="1304">
        <f>9.1%+2.05%</f>
        <v>0.11149999999999999</v>
      </c>
      <c r="G5" s="1302">
        <f>+B5*F5*E5/365</f>
        <v>5121973.9726027399</v>
      </c>
      <c r="H5" s="1302">
        <f t="shared" ref="H5:H20" si="0">+$B$5*J5</f>
        <v>1304100</v>
      </c>
      <c r="I5" s="864">
        <f>+B5-H5</f>
        <v>619695900</v>
      </c>
      <c r="J5" s="1304">
        <v>2.0999999999999999E-3</v>
      </c>
      <c r="L5" s="1305" t="s">
        <v>1038</v>
      </c>
      <c r="M5" s="1306">
        <f>+B5/10^7</f>
        <v>62.1</v>
      </c>
      <c r="N5" s="1306">
        <f>+M7</f>
        <v>60.730695000000004</v>
      </c>
      <c r="O5" s="1306">
        <f>+N7</f>
        <v>57.796470000000006</v>
      </c>
      <c r="P5" s="1306">
        <f>+O7</f>
        <v>55.324890000000003</v>
      </c>
      <c r="Q5" s="1306">
        <f>+O5</f>
        <v>57.796470000000006</v>
      </c>
      <c r="R5" s="1306">
        <f>+P7</f>
        <v>53.036505000000005</v>
      </c>
      <c r="S5" s="1306">
        <f>+R7</f>
        <v>47.261205000000004</v>
      </c>
    </row>
    <row r="6" spans="1:19">
      <c r="A6" s="1301" t="s">
        <v>1037</v>
      </c>
      <c r="B6" s="1307">
        <f>+I5</f>
        <v>619695900</v>
      </c>
      <c r="C6" s="1303">
        <f>+D5+1</f>
        <v>42170</v>
      </c>
      <c r="D6" s="1303">
        <f>+EDATE(D5,1)</f>
        <v>42199</v>
      </c>
      <c r="E6" s="1302">
        <f>+D6-C6+1</f>
        <v>30</v>
      </c>
      <c r="F6" s="1304">
        <f>9.1%+2.05%</f>
        <v>0.11149999999999999</v>
      </c>
      <c r="G6" s="1302">
        <f>+B6*F6*E6/365</f>
        <v>5679130.9191780817</v>
      </c>
      <c r="H6" s="1302">
        <f t="shared" si="0"/>
        <v>1304100</v>
      </c>
      <c r="I6" s="864">
        <f>+B6-H6</f>
        <v>618391800</v>
      </c>
      <c r="J6" s="1304">
        <v>2.0999999999999999E-3</v>
      </c>
      <c r="L6" s="1305" t="s">
        <v>1032</v>
      </c>
      <c r="M6" s="1306">
        <f>+(SUM($H$5:$H$15)+$H$17)/10^7</f>
        <v>1.369305</v>
      </c>
      <c r="N6" s="1306">
        <f>+(SUM($H$18:$H$30)+$H$32)/10^7</f>
        <v>2.9342250000000001</v>
      </c>
      <c r="O6" s="1306">
        <f>+(SUM($H$33:$H$40)/10^7)</f>
        <v>2.4715799999999999</v>
      </c>
      <c r="P6" s="1306">
        <f>+(SUM($H$41:$H$45)+($H$47))/10^7</f>
        <v>2.2883849999999999</v>
      </c>
      <c r="Q6" s="1306">
        <f>+O6+P6</f>
        <v>4.7599649999999993</v>
      </c>
      <c r="R6" s="1306">
        <f>+(SUM($H$48:$H$59)+$H$61)/10^7</f>
        <v>5.7752999999999997</v>
      </c>
      <c r="S6" s="1306">
        <f>+(SUM($H$62:$H$73)+$H$75)/10^7</f>
        <v>6.4739250000000004</v>
      </c>
    </row>
    <row r="7" spans="1:19">
      <c r="A7" s="1301" t="s">
        <v>1037</v>
      </c>
      <c r="B7" s="1302">
        <f t="shared" ref="B7:B83" si="1">+I6</f>
        <v>618391800</v>
      </c>
      <c r="C7" s="1303">
        <f t="shared" ref="C7:C83" si="2">+D6+1</f>
        <v>42200</v>
      </c>
      <c r="D7" s="1303">
        <f t="shared" ref="D7:D70" si="3">+EDATE(D6,1)</f>
        <v>42230</v>
      </c>
      <c r="E7" s="1302">
        <f t="shared" ref="E7:E83" si="4">+D7-C7+1</f>
        <v>31</v>
      </c>
      <c r="F7" s="1304">
        <f t="shared" ref="F7:F9" si="5">9.1%+2.05%</f>
        <v>0.11149999999999999</v>
      </c>
      <c r="G7" s="1302">
        <f t="shared" ref="G7:G83" si="6">+B7*F7*E7/365</f>
        <v>5856085.6347945193</v>
      </c>
      <c r="H7" s="1302">
        <f t="shared" si="0"/>
        <v>1304100</v>
      </c>
      <c r="I7" s="864">
        <f t="shared" ref="I7:I83" si="7">+B7-H7</f>
        <v>617087700</v>
      </c>
      <c r="J7" s="1304">
        <v>2.0999999999999999E-3</v>
      </c>
      <c r="L7" s="1305" t="s">
        <v>1039</v>
      </c>
      <c r="M7" s="1306">
        <f>+M5-M6</f>
        <v>60.730695000000004</v>
      </c>
      <c r="N7" s="1306">
        <f t="shared" ref="N7:S7" si="8">+N5-N6</f>
        <v>57.796470000000006</v>
      </c>
      <c r="O7" s="1306">
        <f t="shared" si="8"/>
        <v>55.324890000000003</v>
      </c>
      <c r="P7" s="1306">
        <f t="shared" si="8"/>
        <v>53.036505000000005</v>
      </c>
      <c r="Q7" s="1306">
        <f t="shared" si="8"/>
        <v>53.036505000000005</v>
      </c>
      <c r="R7" s="1306">
        <f t="shared" si="8"/>
        <v>47.261205000000004</v>
      </c>
      <c r="S7" s="1306">
        <f t="shared" si="8"/>
        <v>40.787280000000003</v>
      </c>
    </row>
    <row r="8" spans="1:19">
      <c r="A8" s="1301" t="s">
        <v>1037</v>
      </c>
      <c r="B8" s="1307">
        <f t="shared" si="1"/>
        <v>617087700</v>
      </c>
      <c r="C8" s="1303">
        <f t="shared" si="2"/>
        <v>42231</v>
      </c>
      <c r="D8" s="1303">
        <f t="shared" si="3"/>
        <v>42261</v>
      </c>
      <c r="E8" s="1302">
        <f t="shared" si="4"/>
        <v>31</v>
      </c>
      <c r="F8" s="1304">
        <f t="shared" si="5"/>
        <v>0.11149999999999999</v>
      </c>
      <c r="G8" s="1302">
        <f t="shared" si="6"/>
        <v>5843735.9864383563</v>
      </c>
      <c r="H8" s="1302">
        <f t="shared" si="0"/>
        <v>1304100</v>
      </c>
      <c r="I8" s="864">
        <f t="shared" si="7"/>
        <v>615783600</v>
      </c>
      <c r="J8" s="1304">
        <v>2.0999999999999999E-3</v>
      </c>
      <c r="L8" s="1305" t="s">
        <v>1040</v>
      </c>
      <c r="M8" s="1306">
        <f>+(SUM($G$5:$G$15)+$G$17)/10^7</f>
        <v>5.8946685094109599</v>
      </c>
      <c r="N8" s="1306">
        <f>+(SUM($G$18:$G$30)+$G$32)/10^7</f>
        <v>6.2879575667671226</v>
      </c>
      <c r="O8" s="1306">
        <f>+(SUM($G$33:$G$40)/10^7)</f>
        <v>2.9230363579315068</v>
      </c>
      <c r="P8" s="1306">
        <f>+(SUM($G$41:$G$45)+($G$47))/10^7</f>
        <v>2.3151971428767122</v>
      </c>
      <c r="Q8" s="1306">
        <f>+O8+P8</f>
        <v>5.238233500808219</v>
      </c>
      <c r="R8" s="1306">
        <f>+(SUM($G$48:$G$59)+$G$61)/10^7</f>
        <v>4.6644144096575344</v>
      </c>
      <c r="S8" s="1306">
        <f>+(SUM($G$62:$G$73)+$G$75)/10^7</f>
        <v>4.1098708097260266</v>
      </c>
    </row>
    <row r="9" spans="1:19">
      <c r="A9" s="1301" t="s">
        <v>1037</v>
      </c>
      <c r="B9" s="1307">
        <f t="shared" si="1"/>
        <v>615783600</v>
      </c>
      <c r="C9" s="1303">
        <f t="shared" si="2"/>
        <v>42262</v>
      </c>
      <c r="D9" s="1303">
        <v>42277</v>
      </c>
      <c r="E9" s="1302">
        <f t="shared" si="4"/>
        <v>16</v>
      </c>
      <c r="F9" s="1304">
        <f t="shared" si="5"/>
        <v>0.11149999999999999</v>
      </c>
      <c r="G9" s="1302">
        <f t="shared" si="6"/>
        <v>3009747.7873972598</v>
      </c>
      <c r="H9" s="1302">
        <f>+$B$5*J9</f>
        <v>0</v>
      </c>
      <c r="I9" s="864">
        <f t="shared" si="7"/>
        <v>615783600</v>
      </c>
      <c r="J9" s="1304"/>
      <c r="L9" s="1305" t="s">
        <v>1041</v>
      </c>
      <c r="M9" s="1308">
        <f>+M8/AVERAGE(M5,M7)</f>
        <v>9.5980381929955852E-2</v>
      </c>
      <c r="N9" s="1308">
        <f t="shared" ref="N9:S9" si="9">+N8/AVERAGE(N5,N7)</f>
        <v>0.10610154333425796</v>
      </c>
      <c r="O9" s="1308">
        <f>+O8/AVERAGE(O5,O7)*2</f>
        <v>0.1033593074882235</v>
      </c>
      <c r="P9" s="1308">
        <f>+P8/AVERAGE(P5,P7)*2</f>
        <v>8.5462064894115175E-2</v>
      </c>
      <c r="Q9" s="1308">
        <f t="shared" si="9"/>
        <v>9.4524819906859292E-2</v>
      </c>
      <c r="R9" s="1308">
        <f t="shared" si="9"/>
        <v>9.3011384001838809E-2</v>
      </c>
      <c r="S9" s="1308">
        <f t="shared" si="9"/>
        <v>9.3354719498604133E-2</v>
      </c>
    </row>
    <row r="10" spans="1:19">
      <c r="A10" s="1301" t="s">
        <v>1037</v>
      </c>
      <c r="B10" s="1307">
        <f t="shared" si="1"/>
        <v>615783600</v>
      </c>
      <c r="C10" s="1303">
        <f>+D9+1</f>
        <v>42278</v>
      </c>
      <c r="D10" s="1303">
        <v>42291</v>
      </c>
      <c r="E10" s="1302">
        <f t="shared" si="4"/>
        <v>14</v>
      </c>
      <c r="F10" s="1304">
        <f>9.5%+1.4%</f>
        <v>0.109</v>
      </c>
      <c r="G10" s="1302">
        <f t="shared" si="6"/>
        <v>2574481.5715068495</v>
      </c>
      <c r="H10" s="1302">
        <f t="shared" si="0"/>
        <v>1304100</v>
      </c>
      <c r="I10" s="864">
        <f t="shared" si="7"/>
        <v>614479500</v>
      </c>
      <c r="J10" s="1304">
        <v>2.0999999999999999E-3</v>
      </c>
      <c r="L10" s="1305" t="s">
        <v>1042</v>
      </c>
      <c r="M10" s="1308">
        <f t="shared" ref="M10:S10" si="10">+SUMPRODUCT($L$14:$L$17,M$14:M$17)/M18</f>
        <v>0.11022206703910614</v>
      </c>
      <c r="N10" s="1308">
        <f>+SUMPRODUCT($L$14:$L$17,N$14:N$17)/N18</f>
        <v>0.10572054794520548</v>
      </c>
      <c r="O10" s="1308">
        <f t="shared" si="10"/>
        <v>9.5241116751269034E-2</v>
      </c>
      <c r="P10" s="1308">
        <f t="shared" si="10"/>
        <v>9.2499999999999999E-2</v>
      </c>
      <c r="Q10" s="1308">
        <f t="shared" si="10"/>
        <v>9.3979452054794521E-2</v>
      </c>
      <c r="R10" s="1308">
        <f t="shared" si="10"/>
        <v>9.2500000000000013E-2</v>
      </c>
      <c r="S10" s="1308">
        <f t="shared" si="10"/>
        <v>9.2499999999999985E-2</v>
      </c>
    </row>
    <row r="11" spans="1:19">
      <c r="A11" s="1301" t="s">
        <v>1037</v>
      </c>
      <c r="B11" s="1307">
        <f>+I10</f>
        <v>614479500</v>
      </c>
      <c r="C11" s="1303">
        <f>+D10+1</f>
        <v>42292</v>
      </c>
      <c r="D11" s="1303">
        <f>+EDATE(D10,1)</f>
        <v>42322</v>
      </c>
      <c r="E11" s="1302">
        <f t="shared" si="4"/>
        <v>31</v>
      </c>
      <c r="F11" s="1304">
        <f t="shared" ref="F11:F21" si="11">9.5%+1.4%</f>
        <v>0.109</v>
      </c>
      <c r="G11" s="1302">
        <f t="shared" si="6"/>
        <v>5688565.0150684929</v>
      </c>
      <c r="H11" s="1302">
        <f t="shared" si="0"/>
        <v>1304100</v>
      </c>
      <c r="I11" s="864">
        <f t="shared" si="7"/>
        <v>613175400</v>
      </c>
      <c r="J11" s="1304">
        <v>2.0999999999999999E-3</v>
      </c>
      <c r="L11" s="1301" t="s">
        <v>1043</v>
      </c>
      <c r="M11" s="1309">
        <f>+F5</f>
        <v>0.11149999999999999</v>
      </c>
      <c r="N11" s="1309">
        <f>+F18</f>
        <v>0.109</v>
      </c>
      <c r="O11" s="1309">
        <f>+F33</f>
        <v>0.1045</v>
      </c>
      <c r="P11" s="1309">
        <f>+O11</f>
        <v>0.1045</v>
      </c>
      <c r="Q11" s="1309">
        <f>+P11</f>
        <v>0.1045</v>
      </c>
      <c r="R11" s="1309">
        <f>+F48</f>
        <v>9.2499999999999999E-2</v>
      </c>
      <c r="S11" s="1309">
        <f>+F62</f>
        <v>9.2499999999999999E-2</v>
      </c>
    </row>
    <row r="12" spans="1:19">
      <c r="A12" s="1301" t="s">
        <v>1037</v>
      </c>
      <c r="B12" s="1307">
        <f t="shared" si="1"/>
        <v>613175400</v>
      </c>
      <c r="C12" s="1303">
        <f t="shared" si="2"/>
        <v>42323</v>
      </c>
      <c r="D12" s="1303">
        <f t="shared" si="3"/>
        <v>42352</v>
      </c>
      <c r="E12" s="1302">
        <f t="shared" si="4"/>
        <v>30</v>
      </c>
      <c r="F12" s="1304">
        <f t="shared" si="11"/>
        <v>0.109</v>
      </c>
      <c r="G12" s="1302">
        <f t="shared" si="6"/>
        <v>5493379.610958904</v>
      </c>
      <c r="H12" s="1302">
        <f t="shared" si="0"/>
        <v>1304100</v>
      </c>
      <c r="I12" s="864">
        <f t="shared" si="7"/>
        <v>611871300</v>
      </c>
      <c r="J12" s="1304">
        <v>2.0999999999999999E-3</v>
      </c>
      <c r="M12" s="1310"/>
    </row>
    <row r="13" spans="1:19" s="1311" customFormat="1">
      <c r="A13" s="1301" t="s">
        <v>1037</v>
      </c>
      <c r="B13" s="1307">
        <f t="shared" si="1"/>
        <v>611871300</v>
      </c>
      <c r="C13" s="1303">
        <f t="shared" si="2"/>
        <v>42353</v>
      </c>
      <c r="D13" s="1303">
        <f t="shared" si="3"/>
        <v>42383</v>
      </c>
      <c r="E13" s="1302">
        <f t="shared" si="4"/>
        <v>31</v>
      </c>
      <c r="F13" s="1304">
        <f t="shared" si="11"/>
        <v>0.109</v>
      </c>
      <c r="G13" s="1302">
        <f t="shared" si="6"/>
        <v>5664419.5142465755</v>
      </c>
      <c r="H13" s="1302">
        <f t="shared" si="0"/>
        <v>1304100</v>
      </c>
      <c r="I13" s="864">
        <f t="shared" si="7"/>
        <v>610567200</v>
      </c>
      <c r="J13" s="1304">
        <v>2.0999999999999999E-3</v>
      </c>
      <c r="L13" s="865" t="s">
        <v>1030</v>
      </c>
      <c r="M13" s="866">
        <f>+(SUM($E$5:$E$15)+$E$17)</f>
        <v>318</v>
      </c>
      <c r="N13" s="866">
        <f>+(SUM($E$18:$E$30)+$E$32)</f>
        <v>365</v>
      </c>
      <c r="O13" s="866">
        <f>+(SUM($E$33:$E$40))</f>
        <v>197</v>
      </c>
      <c r="P13" s="866">
        <f>+(SUM($E$41:$E$45)+($E$47))</f>
        <v>168</v>
      </c>
      <c r="Q13" s="866">
        <f>+O13+P13</f>
        <v>365</v>
      </c>
      <c r="R13" s="866">
        <f>+(SUM($E$48:$E$59)+$E$61)</f>
        <v>365</v>
      </c>
      <c r="S13" s="866">
        <f>+(SUM($E$62:$E$73)+$E$75)</f>
        <v>366</v>
      </c>
    </row>
    <row r="14" spans="1:19" s="1311" customFormat="1">
      <c r="A14" s="1301" t="s">
        <v>1037</v>
      </c>
      <c r="B14" s="1307">
        <f t="shared" si="1"/>
        <v>610567200</v>
      </c>
      <c r="C14" s="1303">
        <f t="shared" si="2"/>
        <v>42384</v>
      </c>
      <c r="D14" s="1303">
        <f t="shared" si="3"/>
        <v>42414</v>
      </c>
      <c r="E14" s="1302">
        <f t="shared" si="4"/>
        <v>31</v>
      </c>
      <c r="F14" s="1304">
        <f t="shared" si="11"/>
        <v>0.109</v>
      </c>
      <c r="G14" s="1302">
        <f t="shared" si="6"/>
        <v>5652346.7638356164</v>
      </c>
      <c r="H14" s="1302">
        <f t="shared" si="0"/>
        <v>1304100</v>
      </c>
      <c r="I14" s="864">
        <f t="shared" si="7"/>
        <v>609263100</v>
      </c>
      <c r="J14" s="1304">
        <v>2.0999999999999999E-3</v>
      </c>
      <c r="L14" s="1304">
        <f>9.1%+2.05%</f>
        <v>0.11149999999999999</v>
      </c>
      <c r="M14" s="1312">
        <f>+SUM(E5:E9)+40</f>
        <v>175</v>
      </c>
      <c r="N14" s="1312">
        <v>0</v>
      </c>
      <c r="O14" s="1312">
        <v>0</v>
      </c>
      <c r="P14" s="1312">
        <v>0</v>
      </c>
      <c r="Q14" s="1306">
        <f t="shared" ref="Q14:Q17" si="12">+O14+P14</f>
        <v>0</v>
      </c>
      <c r="R14" s="1312">
        <v>0</v>
      </c>
      <c r="S14" s="1312">
        <v>0</v>
      </c>
    </row>
    <row r="15" spans="1:19">
      <c r="A15" s="1301" t="s">
        <v>1037</v>
      </c>
      <c r="B15" s="1307">
        <f t="shared" si="1"/>
        <v>609263100</v>
      </c>
      <c r="C15" s="1303">
        <f t="shared" si="2"/>
        <v>42415</v>
      </c>
      <c r="D15" s="1303">
        <f t="shared" si="3"/>
        <v>42443</v>
      </c>
      <c r="E15" s="1302">
        <f t="shared" si="4"/>
        <v>29</v>
      </c>
      <c r="F15" s="1304">
        <f t="shared" si="11"/>
        <v>0.109</v>
      </c>
      <c r="G15" s="1302">
        <f t="shared" si="6"/>
        <v>5276385.3673972599</v>
      </c>
      <c r="H15" s="1302">
        <f t="shared" si="0"/>
        <v>1304100</v>
      </c>
      <c r="I15" s="864">
        <f>+B15-H15</f>
        <v>607959000</v>
      </c>
      <c r="J15" s="1304">
        <v>2.0999999999999999E-3</v>
      </c>
      <c r="L15" s="1304">
        <f>9.5%+1.4%</f>
        <v>0.109</v>
      </c>
      <c r="M15" s="1306">
        <f>+SUM(E10:E15)+E17</f>
        <v>183</v>
      </c>
      <c r="N15" s="1306">
        <f>+SUM(E18:E21)</f>
        <v>99</v>
      </c>
      <c r="O15" s="1306">
        <v>0</v>
      </c>
      <c r="P15" s="1306">
        <v>0</v>
      </c>
      <c r="Q15" s="1306">
        <f t="shared" si="12"/>
        <v>0</v>
      </c>
      <c r="R15" s="1306">
        <v>0</v>
      </c>
      <c r="S15" s="1306">
        <v>0</v>
      </c>
    </row>
    <row r="16" spans="1:19">
      <c r="A16" s="1313" t="s">
        <v>1037</v>
      </c>
      <c r="B16" s="1314">
        <f t="shared" si="1"/>
        <v>607959000</v>
      </c>
      <c r="C16" s="1315">
        <f t="shared" si="2"/>
        <v>42444</v>
      </c>
      <c r="D16" s="1315">
        <f t="shared" si="3"/>
        <v>42474</v>
      </c>
      <c r="E16" s="1316">
        <f t="shared" si="4"/>
        <v>31</v>
      </c>
      <c r="F16" s="1317">
        <f t="shared" si="11"/>
        <v>0.109</v>
      </c>
      <c r="G16" s="1316">
        <f>+B16*F16*E16/365</f>
        <v>5628201.2630136991</v>
      </c>
      <c r="H16" s="1316">
        <f>+$B$5*J16</f>
        <v>1304100</v>
      </c>
      <c r="I16" s="867">
        <f t="shared" si="7"/>
        <v>606654900</v>
      </c>
      <c r="J16" s="1317">
        <v>2.0999999999999999E-3</v>
      </c>
      <c r="L16" s="1304">
        <f>9.5%+0.95%</f>
        <v>0.1045</v>
      </c>
      <c r="M16" s="1306">
        <v>0</v>
      </c>
      <c r="N16" s="1306">
        <f>+SUM(E22:E30)+E32</f>
        <v>266</v>
      </c>
      <c r="O16" s="1306">
        <f>+SUM(E33:E35)</f>
        <v>45</v>
      </c>
      <c r="P16" s="1306">
        <v>0</v>
      </c>
      <c r="Q16" s="1306">
        <f t="shared" si="12"/>
        <v>45</v>
      </c>
      <c r="R16" s="1306">
        <v>0</v>
      </c>
      <c r="S16" s="1306">
        <v>0</v>
      </c>
    </row>
    <row r="17" spans="1:19">
      <c r="A17" s="1313" t="s">
        <v>1037</v>
      </c>
      <c r="B17" s="1314">
        <f>+I15</f>
        <v>607959000</v>
      </c>
      <c r="C17" s="1315">
        <v>42444</v>
      </c>
      <c r="D17" s="1315">
        <v>42460</v>
      </c>
      <c r="E17" s="1316">
        <f>+D17-C17+1</f>
        <v>17</v>
      </c>
      <c r="F17" s="1317">
        <f t="shared" si="11"/>
        <v>0.109</v>
      </c>
      <c r="G17" s="1316">
        <f>+B17*F17*E17/365</f>
        <v>3086432.9506849316</v>
      </c>
      <c r="H17" s="1316">
        <f>+$B$5*J17/2</f>
        <v>652050</v>
      </c>
      <c r="I17" s="867">
        <f>+B17-H17</f>
        <v>607306950</v>
      </c>
      <c r="J17" s="1317">
        <v>2.0999999999999999E-3</v>
      </c>
      <c r="L17" s="1304">
        <f>8.6%+0.65%</f>
        <v>9.2499999999999999E-2</v>
      </c>
      <c r="M17" s="1306">
        <v>0</v>
      </c>
      <c r="N17" s="1306">
        <v>0</v>
      </c>
      <c r="O17" s="1306">
        <f>+SUM(E36:E40)</f>
        <v>152</v>
      </c>
      <c r="P17" s="1306">
        <f>+SUM(E41:E45)+E47</f>
        <v>168</v>
      </c>
      <c r="Q17" s="1306">
        <f t="shared" si="12"/>
        <v>320</v>
      </c>
      <c r="R17" s="1306">
        <f>+SUM(E48:E59)+E61</f>
        <v>365</v>
      </c>
      <c r="S17" s="1306">
        <f>+SUM(E62:E73)+E75</f>
        <v>366</v>
      </c>
    </row>
    <row r="18" spans="1:19">
      <c r="A18" s="1313" t="s">
        <v>1044</v>
      </c>
      <c r="B18" s="1314">
        <f>+I17</f>
        <v>607306950</v>
      </c>
      <c r="C18" s="1315">
        <v>42461</v>
      </c>
      <c r="D18" s="1315">
        <f>+D16</f>
        <v>42474</v>
      </c>
      <c r="E18" s="1316">
        <f>+D18-C18+1</f>
        <v>14</v>
      </c>
      <c r="F18" s="1317">
        <f t="shared" si="11"/>
        <v>0.109</v>
      </c>
      <c r="G18" s="1316">
        <f>+G16-G17</f>
        <v>2541768.3123287675</v>
      </c>
      <c r="H18" s="1316">
        <f>+$B$5*J18/2</f>
        <v>652050</v>
      </c>
      <c r="I18" s="867">
        <f>+B18-H18</f>
        <v>606654900</v>
      </c>
      <c r="J18" s="1317">
        <v>2.0999999999999999E-3</v>
      </c>
      <c r="L18" s="1305"/>
      <c r="M18" s="868">
        <f>SUM(M14:M17)</f>
        <v>358</v>
      </c>
      <c r="N18" s="868">
        <f t="shared" ref="N18:R18" si="13">SUM(N14:N17)</f>
        <v>365</v>
      </c>
      <c r="O18" s="868">
        <f t="shared" si="13"/>
        <v>197</v>
      </c>
      <c r="P18" s="868">
        <f t="shared" si="13"/>
        <v>168</v>
      </c>
      <c r="Q18" s="868">
        <f t="shared" si="13"/>
        <v>365</v>
      </c>
      <c r="R18" s="868">
        <f t="shared" si="13"/>
        <v>365</v>
      </c>
      <c r="S18" s="868">
        <f>SUM(S14:S17)</f>
        <v>366</v>
      </c>
    </row>
    <row r="19" spans="1:19">
      <c r="A19" s="1301" t="s">
        <v>1045</v>
      </c>
      <c r="B19" s="1307">
        <f>+I16</f>
        <v>606654900</v>
      </c>
      <c r="C19" s="1303">
        <f>+D16+1</f>
        <v>42475</v>
      </c>
      <c r="D19" s="1303">
        <f>+EDATE(D16,1)</f>
        <v>42504</v>
      </c>
      <c r="E19" s="1302">
        <f t="shared" si="4"/>
        <v>30</v>
      </c>
      <c r="F19" s="1304">
        <f t="shared" si="11"/>
        <v>0.109</v>
      </c>
      <c r="G19" s="1302">
        <f t="shared" si="6"/>
        <v>5434963.0767123289</v>
      </c>
      <c r="H19" s="1302">
        <f t="shared" si="0"/>
        <v>1304100</v>
      </c>
      <c r="I19" s="864">
        <f t="shared" si="7"/>
        <v>605350800</v>
      </c>
      <c r="J19" s="1304">
        <v>2.0999999999999999E-3</v>
      </c>
    </row>
    <row r="20" spans="1:19" s="1311" customFormat="1">
      <c r="A20" s="1301" t="s">
        <v>1045</v>
      </c>
      <c r="B20" s="1307">
        <f t="shared" si="1"/>
        <v>605350800</v>
      </c>
      <c r="C20" s="1303">
        <f t="shared" si="2"/>
        <v>42505</v>
      </c>
      <c r="D20" s="1303">
        <f t="shared" si="3"/>
        <v>42535</v>
      </c>
      <c r="E20" s="1302">
        <f t="shared" si="4"/>
        <v>31</v>
      </c>
      <c r="F20" s="1304">
        <f t="shared" si="11"/>
        <v>0.109</v>
      </c>
      <c r="G20" s="1302">
        <f t="shared" si="6"/>
        <v>5604055.7621917808</v>
      </c>
      <c r="H20" s="1302">
        <f t="shared" si="0"/>
        <v>2608200</v>
      </c>
      <c r="I20" s="864">
        <f t="shared" si="7"/>
        <v>602742600</v>
      </c>
      <c r="J20" s="1304">
        <v>4.1999999999999997E-3</v>
      </c>
      <c r="L20" s="1298"/>
      <c r="M20" s="1318"/>
    </row>
    <row r="21" spans="1:19">
      <c r="A21" s="1301" t="s">
        <v>1045</v>
      </c>
      <c r="B21" s="1307">
        <f t="shared" si="1"/>
        <v>602742600</v>
      </c>
      <c r="C21" s="1303">
        <f t="shared" si="2"/>
        <v>42536</v>
      </c>
      <c r="D21" s="1303">
        <v>42559</v>
      </c>
      <c r="E21" s="1302">
        <f t="shared" si="4"/>
        <v>24</v>
      </c>
      <c r="F21" s="1304">
        <f t="shared" si="11"/>
        <v>0.109</v>
      </c>
      <c r="G21" s="1302">
        <f t="shared" si="6"/>
        <v>4319930.5249315063</v>
      </c>
      <c r="H21" s="1301"/>
      <c r="I21" s="1301"/>
      <c r="J21" s="1304">
        <v>4.1999999999999997E-3</v>
      </c>
      <c r="L21" s="870" t="s">
        <v>949</v>
      </c>
      <c r="M21" s="1319">
        <f>+ASSUM!C91</f>
        <v>0.96824686999999998</v>
      </c>
      <c r="N21" s="1319">
        <f>+ASSUM!D91</f>
        <v>0.96824686999999998</v>
      </c>
      <c r="O21" s="1319">
        <f>+Q21</f>
        <v>0.96824686999999998</v>
      </c>
      <c r="P21" s="1319">
        <f>+Q21</f>
        <v>0.96824686999999998</v>
      </c>
      <c r="Q21" s="1319">
        <f>+ASSUM!E91</f>
        <v>0.96824686999999998</v>
      </c>
      <c r="R21" s="1319">
        <f>+ASSUM!F91</f>
        <v>0.96824686999999998</v>
      </c>
      <c r="S21" s="1319">
        <f>+ASSUM!G91</f>
        <v>0.96824686999999998</v>
      </c>
    </row>
    <row r="22" spans="1:19">
      <c r="A22" s="1301" t="s">
        <v>1045</v>
      </c>
      <c r="B22" s="1307"/>
      <c r="C22" s="1303">
        <v>42560</v>
      </c>
      <c r="D22" s="1303">
        <v>42565</v>
      </c>
      <c r="E22" s="1302">
        <f t="shared" si="4"/>
        <v>6</v>
      </c>
      <c r="F22" s="1304">
        <f>9.5%+0.95%</f>
        <v>0.1045</v>
      </c>
      <c r="G22" s="1302">
        <f>+B21*F22*E22/365</f>
        <v>1035396.192328767</v>
      </c>
      <c r="H22" s="1302">
        <f>+$B$5*J21</f>
        <v>2608200</v>
      </c>
      <c r="I22" s="864">
        <f>+B21-H22</f>
        <v>600134400</v>
      </c>
      <c r="J22" s="1304"/>
      <c r="L22" s="870" t="s">
        <v>947</v>
      </c>
      <c r="M22" s="1319">
        <f>1-M21</f>
        <v>3.1753130000000018E-2</v>
      </c>
      <c r="N22" s="1319">
        <f t="shared" ref="N22:S22" si="14">1-N21</f>
        <v>3.1753130000000018E-2</v>
      </c>
      <c r="O22" s="1319">
        <f t="shared" si="14"/>
        <v>3.1753130000000018E-2</v>
      </c>
      <c r="P22" s="1319">
        <f t="shared" si="14"/>
        <v>3.1753130000000018E-2</v>
      </c>
      <c r="Q22" s="1319">
        <f t="shared" si="14"/>
        <v>3.1753130000000018E-2</v>
      </c>
      <c r="R22" s="1319">
        <f t="shared" si="14"/>
        <v>3.1753130000000018E-2</v>
      </c>
      <c r="S22" s="1319">
        <f t="shared" si="14"/>
        <v>3.1753130000000018E-2</v>
      </c>
    </row>
    <row r="23" spans="1:19">
      <c r="A23" s="1301" t="s">
        <v>1045</v>
      </c>
      <c r="B23" s="1307">
        <f>+I22</f>
        <v>600134400</v>
      </c>
      <c r="C23" s="1303">
        <f>+D22+1</f>
        <v>42566</v>
      </c>
      <c r="D23" s="1303">
        <f>+EDATE(D22,1)</f>
        <v>42596</v>
      </c>
      <c r="E23" s="1302">
        <f t="shared" si="4"/>
        <v>31</v>
      </c>
      <c r="F23" s="1304">
        <f>9.5%+0.95%</f>
        <v>0.1045</v>
      </c>
      <c r="G23" s="1302">
        <f t="shared" si="6"/>
        <v>5326398.3254794516</v>
      </c>
      <c r="H23" s="1302">
        <f t="shared" ref="H23:H34" si="15">+$B$5*J23</f>
        <v>2608200</v>
      </c>
      <c r="I23" s="864">
        <f t="shared" si="7"/>
        <v>597526200</v>
      </c>
      <c r="J23" s="1304">
        <v>4.1999999999999997E-3</v>
      </c>
    </row>
    <row r="24" spans="1:19">
      <c r="A24" s="1301" t="s">
        <v>1045</v>
      </c>
      <c r="B24" s="1307">
        <f>+I23</f>
        <v>597526200</v>
      </c>
      <c r="C24" s="1303">
        <f>+D23+1</f>
        <v>42597</v>
      </c>
      <c r="D24" s="1303">
        <f>+EDATE(D23,1)</f>
        <v>42627</v>
      </c>
      <c r="E24" s="1302">
        <f t="shared" si="4"/>
        <v>31</v>
      </c>
      <c r="F24" s="1304">
        <f t="shared" ref="F24:F35" si="16">9.5%+0.95%</f>
        <v>0.1045</v>
      </c>
      <c r="G24" s="1302">
        <f t="shared" si="6"/>
        <v>5303249.6572602736</v>
      </c>
      <c r="H24" s="1302">
        <f t="shared" si="15"/>
        <v>2608200</v>
      </c>
      <c r="I24" s="864">
        <f t="shared" si="7"/>
        <v>594918000</v>
      </c>
      <c r="J24" s="1304">
        <v>4.1999999999999997E-3</v>
      </c>
      <c r="L24" s="870" t="s">
        <v>1055</v>
      </c>
    </row>
    <row r="25" spans="1:19">
      <c r="A25" s="1301" t="s">
        <v>1045</v>
      </c>
      <c r="B25" s="1307">
        <f t="shared" si="1"/>
        <v>594918000</v>
      </c>
      <c r="C25" s="1303">
        <f t="shared" si="2"/>
        <v>42628</v>
      </c>
      <c r="D25" s="1303">
        <f t="shared" si="3"/>
        <v>42657</v>
      </c>
      <c r="E25" s="1302">
        <f t="shared" si="4"/>
        <v>30</v>
      </c>
      <c r="F25" s="1304">
        <f t="shared" si="16"/>
        <v>0.1045</v>
      </c>
      <c r="G25" s="1302">
        <f t="shared" si="6"/>
        <v>5109775.1506849313</v>
      </c>
      <c r="H25" s="1302">
        <f t="shared" si="15"/>
        <v>2608200</v>
      </c>
      <c r="I25" s="864">
        <f t="shared" si="7"/>
        <v>592309800</v>
      </c>
      <c r="J25" s="1304">
        <v>4.1999999999999997E-3</v>
      </c>
      <c r="L25" s="1305" t="s">
        <v>1056</v>
      </c>
      <c r="M25" s="1320">
        <f>+M5*M$21</f>
        <v>60.128130626999997</v>
      </c>
      <c r="N25" s="1320">
        <f>+M27</f>
        <v>58.80230534667465</v>
      </c>
      <c r="O25" s="1320">
        <f>+N27</f>
        <v>55.961251174548899</v>
      </c>
      <c r="P25" s="1320">
        <f>+O27</f>
        <v>53.5681515755943</v>
      </c>
      <c r="Q25" s="1320">
        <f>+O25</f>
        <v>55.961251174548899</v>
      </c>
      <c r="R25" s="1320">
        <f>+Q27</f>
        <v>51.352429961989351</v>
      </c>
      <c r="S25" s="1320">
        <f>+R27</f>
        <v>45.760513813678351</v>
      </c>
    </row>
    <row r="26" spans="1:19">
      <c r="A26" s="1301" t="s">
        <v>1045</v>
      </c>
      <c r="B26" s="1307">
        <f t="shared" si="1"/>
        <v>592309800</v>
      </c>
      <c r="C26" s="1303">
        <f t="shared" si="2"/>
        <v>42658</v>
      </c>
      <c r="D26" s="1303">
        <f t="shared" si="3"/>
        <v>42688</v>
      </c>
      <c r="E26" s="1302">
        <f t="shared" si="4"/>
        <v>31</v>
      </c>
      <c r="F26" s="1304">
        <f t="shared" si="16"/>
        <v>0.1045</v>
      </c>
      <c r="G26" s="1302">
        <f t="shared" si="6"/>
        <v>5256952.3208219176</v>
      </c>
      <c r="H26" s="1302">
        <f t="shared" si="15"/>
        <v>2608200</v>
      </c>
      <c r="I26" s="864">
        <f t="shared" si="7"/>
        <v>589701600</v>
      </c>
      <c r="J26" s="1304">
        <v>4.1999999999999997E-3</v>
      </c>
      <c r="L26" s="1305" t="s">
        <v>1032</v>
      </c>
      <c r="M26" s="1320">
        <f>+M6*M$21</f>
        <v>1.3258252803253501</v>
      </c>
      <c r="N26" s="1320">
        <f t="shared" ref="N26" si="17">+N6*N$21</f>
        <v>2.8410541721257498</v>
      </c>
      <c r="O26" s="1320">
        <f>+O6*O$21</f>
        <v>2.3930995989546</v>
      </c>
      <c r="P26" s="1320">
        <f>+P6*P$21</f>
        <v>2.2157216136049498</v>
      </c>
      <c r="Q26" s="1320">
        <f>+Q6*Q$21</f>
        <v>4.6088212125595494</v>
      </c>
      <c r="R26" s="1320">
        <f>+R6*R$21</f>
        <v>5.5919161483109994</v>
      </c>
      <c r="S26" s="1320">
        <f>+S6*S$21</f>
        <v>6.2683576178647504</v>
      </c>
    </row>
    <row r="27" spans="1:19">
      <c r="A27" s="1301" t="s">
        <v>1045</v>
      </c>
      <c r="B27" s="1307">
        <f t="shared" si="1"/>
        <v>589701600</v>
      </c>
      <c r="C27" s="1303">
        <f t="shared" si="2"/>
        <v>42689</v>
      </c>
      <c r="D27" s="1303">
        <f t="shared" si="3"/>
        <v>42718</v>
      </c>
      <c r="E27" s="1302">
        <f t="shared" si="4"/>
        <v>30</v>
      </c>
      <c r="F27" s="1304">
        <f t="shared" si="16"/>
        <v>0.1045</v>
      </c>
      <c r="G27" s="1302">
        <f t="shared" si="6"/>
        <v>5064971.2767123282</v>
      </c>
      <c r="H27" s="1302">
        <f t="shared" si="15"/>
        <v>2608200</v>
      </c>
      <c r="I27" s="864">
        <f t="shared" si="7"/>
        <v>587093400</v>
      </c>
      <c r="J27" s="1304">
        <v>4.1999999999999997E-3</v>
      </c>
      <c r="L27" s="1305" t="s">
        <v>1057</v>
      </c>
      <c r="M27" s="1320">
        <f>+M25-M26</f>
        <v>58.80230534667465</v>
      </c>
      <c r="N27" s="1320">
        <f t="shared" ref="N27" si="18">+N25-N26</f>
        <v>55.961251174548899</v>
      </c>
      <c r="O27" s="1320">
        <f>+O25-O26</f>
        <v>53.5681515755943</v>
      </c>
      <c r="P27" s="1320">
        <f>+P25-P26</f>
        <v>51.352429961989351</v>
      </c>
      <c r="Q27" s="1320">
        <f>+Q25-Q26</f>
        <v>51.352429961989351</v>
      </c>
      <c r="R27" s="1320">
        <f>+R25-R26</f>
        <v>45.760513813678351</v>
      </c>
      <c r="S27" s="1320">
        <f>+S25-S26</f>
        <v>39.4921561958136</v>
      </c>
    </row>
    <row r="28" spans="1:19" s="1311" customFormat="1">
      <c r="A28" s="1301" t="s">
        <v>1045</v>
      </c>
      <c r="B28" s="1307">
        <f t="shared" si="1"/>
        <v>587093400</v>
      </c>
      <c r="C28" s="1303">
        <f t="shared" si="2"/>
        <v>42719</v>
      </c>
      <c r="D28" s="1303">
        <f t="shared" si="3"/>
        <v>42749</v>
      </c>
      <c r="E28" s="1302">
        <f t="shared" si="4"/>
        <v>31</v>
      </c>
      <c r="F28" s="1304">
        <f t="shared" si="16"/>
        <v>0.1045</v>
      </c>
      <c r="G28" s="1302">
        <f t="shared" si="6"/>
        <v>5210654.9843835616</v>
      </c>
      <c r="H28" s="1302">
        <f t="shared" si="15"/>
        <v>2608200</v>
      </c>
      <c r="I28" s="864">
        <f t="shared" si="7"/>
        <v>584485200</v>
      </c>
      <c r="J28" s="1304">
        <v>4.1999999999999997E-3</v>
      </c>
      <c r="L28" s="1305" t="s">
        <v>1031</v>
      </c>
      <c r="M28" s="1320">
        <f>+M8*M$21</f>
        <v>5.7074943339247275</v>
      </c>
      <c r="N28" s="1320">
        <f t="shared" ref="N28:S28" si="19">+N8*N$21</f>
        <v>6.0882952327150823</v>
      </c>
      <c r="O28" s="1320">
        <f t="shared" si="19"/>
        <v>2.830220804463381</v>
      </c>
      <c r="P28" s="1320">
        <f t="shared" si="19"/>
        <v>2.2416823870233191</v>
      </c>
      <c r="Q28" s="1320">
        <f>+Q8*Q$21</f>
        <v>5.0719031914867001</v>
      </c>
      <c r="R28" s="1320">
        <f t="shared" si="19"/>
        <v>4.5163046525338055</v>
      </c>
      <c r="S28" s="1320">
        <f t="shared" si="19"/>
        <v>3.9793695476215909</v>
      </c>
    </row>
    <row r="29" spans="1:19" s="1311" customFormat="1">
      <c r="A29" s="1301" t="s">
        <v>1045</v>
      </c>
      <c r="B29" s="1307">
        <f t="shared" si="1"/>
        <v>584485200</v>
      </c>
      <c r="C29" s="1303">
        <f t="shared" si="2"/>
        <v>42750</v>
      </c>
      <c r="D29" s="1303">
        <f t="shared" si="3"/>
        <v>42780</v>
      </c>
      <c r="E29" s="1302">
        <f t="shared" si="4"/>
        <v>31</v>
      </c>
      <c r="F29" s="1304">
        <f t="shared" si="16"/>
        <v>0.1045</v>
      </c>
      <c r="G29" s="1302">
        <f t="shared" si="6"/>
        <v>5187506.3161643827</v>
      </c>
      <c r="H29" s="1302">
        <f t="shared" si="15"/>
        <v>2608200</v>
      </c>
      <c r="I29" s="864">
        <f t="shared" si="7"/>
        <v>581877000</v>
      </c>
      <c r="J29" s="1304">
        <v>4.1999999999999997E-3</v>
      </c>
      <c r="L29" s="1298"/>
    </row>
    <row r="30" spans="1:19" s="1311" customFormat="1">
      <c r="A30" s="1301" t="s">
        <v>1045</v>
      </c>
      <c r="B30" s="1307">
        <f t="shared" si="1"/>
        <v>581877000</v>
      </c>
      <c r="C30" s="1303">
        <f t="shared" si="2"/>
        <v>42781</v>
      </c>
      <c r="D30" s="1303">
        <f t="shared" si="3"/>
        <v>42808</v>
      </c>
      <c r="E30" s="1302">
        <f t="shared" si="4"/>
        <v>28</v>
      </c>
      <c r="F30" s="1304">
        <f t="shared" si="16"/>
        <v>0.1045</v>
      </c>
      <c r="G30" s="1302">
        <f t="shared" si="6"/>
        <v>4664581.1013698634</v>
      </c>
      <c r="H30" s="1302">
        <f t="shared" si="15"/>
        <v>2608200</v>
      </c>
      <c r="I30" s="864">
        <f t="shared" si="7"/>
        <v>579268800</v>
      </c>
      <c r="J30" s="1304">
        <v>4.1999999999999997E-3</v>
      </c>
      <c r="L30" s="870" t="s">
        <v>1058</v>
      </c>
    </row>
    <row r="31" spans="1:19" s="1311" customFormat="1">
      <c r="A31" s="1313" t="s">
        <v>1045</v>
      </c>
      <c r="B31" s="1314">
        <f t="shared" si="1"/>
        <v>579268800</v>
      </c>
      <c r="C31" s="1315">
        <f t="shared" si="2"/>
        <v>42809</v>
      </c>
      <c r="D31" s="1315">
        <f t="shared" si="3"/>
        <v>42839</v>
      </c>
      <c r="E31" s="1316">
        <f t="shared" si="4"/>
        <v>31</v>
      </c>
      <c r="F31" s="1317">
        <f t="shared" si="16"/>
        <v>0.1045</v>
      </c>
      <c r="G31" s="1316">
        <f t="shared" si="6"/>
        <v>5141208.9797260268</v>
      </c>
      <c r="H31" s="1316">
        <f t="shared" si="15"/>
        <v>2608200</v>
      </c>
      <c r="I31" s="867">
        <f t="shared" si="7"/>
        <v>576660600</v>
      </c>
      <c r="J31" s="1317">
        <v>4.1999999999999997E-3</v>
      </c>
      <c r="L31" s="1305" t="s">
        <v>1056</v>
      </c>
      <c r="M31" s="1320">
        <f>+M5-M25</f>
        <v>1.9718693730000041</v>
      </c>
      <c r="N31" s="1320">
        <f>+M33</f>
        <v>1.9283896533253542</v>
      </c>
      <c r="O31" s="1320">
        <f t="shared" ref="O31:S31" si="20">+N33</f>
        <v>1.8352188254511039</v>
      </c>
      <c r="P31" s="1320">
        <f t="shared" si="20"/>
        <v>1.756738424405704</v>
      </c>
      <c r="Q31" s="1320">
        <f>+O31</f>
        <v>1.8352188254511039</v>
      </c>
      <c r="R31" s="1320">
        <f t="shared" si="20"/>
        <v>1.6840750380106539</v>
      </c>
      <c r="S31" s="1320">
        <f t="shared" si="20"/>
        <v>1.5006911863216537</v>
      </c>
    </row>
    <row r="32" spans="1:19" s="1311" customFormat="1">
      <c r="A32" s="1313" t="s">
        <v>1045</v>
      </c>
      <c r="B32" s="1314">
        <f>+B31</f>
        <v>579268800</v>
      </c>
      <c r="C32" s="1315">
        <f>+C31</f>
        <v>42809</v>
      </c>
      <c r="D32" s="1315">
        <v>42825</v>
      </c>
      <c r="E32" s="1316">
        <f t="shared" si="4"/>
        <v>17</v>
      </c>
      <c r="F32" s="1317">
        <f t="shared" si="16"/>
        <v>0.1045</v>
      </c>
      <c r="G32" s="1316">
        <f>+B32*F32*E32/365</f>
        <v>2819372.6663013697</v>
      </c>
      <c r="H32" s="1316">
        <f>+$B$5*J32/2</f>
        <v>1304100</v>
      </c>
      <c r="I32" s="867">
        <f t="shared" si="7"/>
        <v>577964700</v>
      </c>
      <c r="J32" s="1317">
        <v>4.1999999999999997E-3</v>
      </c>
      <c r="L32" s="1305" t="s">
        <v>1032</v>
      </c>
      <c r="M32" s="1320">
        <f>+M6-M26</f>
        <v>4.3479719674649919E-2</v>
      </c>
      <c r="N32" s="1320">
        <f t="shared" ref="N32:S32" si="21">+N6-N26</f>
        <v>9.3170827874250239E-2</v>
      </c>
      <c r="O32" s="1320">
        <f t="shared" si="21"/>
        <v>7.8480401045399883E-2</v>
      </c>
      <c r="P32" s="1320">
        <f t="shared" si="21"/>
        <v>7.26633863950501E-2</v>
      </c>
      <c r="Q32" s="1320">
        <f>+Q6-Q26</f>
        <v>0.15114378744044998</v>
      </c>
      <c r="R32" s="1320">
        <f t="shared" si="21"/>
        <v>0.18338385168900029</v>
      </c>
      <c r="S32" s="1320">
        <f t="shared" si="21"/>
        <v>0.20556738213524994</v>
      </c>
    </row>
    <row r="33" spans="1:19" s="1311" customFormat="1">
      <c r="A33" s="1313" t="s">
        <v>1046</v>
      </c>
      <c r="B33" s="1314">
        <f>+I32</f>
        <v>577964700</v>
      </c>
      <c r="C33" s="1315">
        <f>+D32+1</f>
        <v>42826</v>
      </c>
      <c r="D33" s="1315">
        <f>+D31</f>
        <v>42839</v>
      </c>
      <c r="E33" s="1316">
        <f t="shared" si="4"/>
        <v>14</v>
      </c>
      <c r="F33" s="1317">
        <f t="shared" si="16"/>
        <v>0.1045</v>
      </c>
      <c r="G33" s="1316">
        <f>+G31-G32</f>
        <v>2321836.3134246571</v>
      </c>
      <c r="H33" s="1316">
        <f>+$B$5*J33/2</f>
        <v>1304100</v>
      </c>
      <c r="I33" s="867">
        <f t="shared" si="7"/>
        <v>576660600</v>
      </c>
      <c r="J33" s="1317">
        <v>4.1999999999999997E-3</v>
      </c>
      <c r="L33" s="1305" t="s">
        <v>1057</v>
      </c>
      <c r="M33" s="1320">
        <f>+M31-M32</f>
        <v>1.9283896533253542</v>
      </c>
      <c r="N33" s="1320">
        <f t="shared" ref="N33" si="22">+N31-N32</f>
        <v>1.8352188254511039</v>
      </c>
      <c r="O33" s="1320">
        <f t="shared" ref="O33" si="23">+O31-O32</f>
        <v>1.756738424405704</v>
      </c>
      <c r="P33" s="1320">
        <f t="shared" ref="P33" si="24">+P31-P32</f>
        <v>1.6840750380106539</v>
      </c>
      <c r="Q33" s="1320">
        <f>+Q31-Q32</f>
        <v>1.6840750380106539</v>
      </c>
      <c r="R33" s="1320">
        <f>+R31-R32</f>
        <v>1.5006911863216537</v>
      </c>
      <c r="S33" s="1320">
        <f>+S31-S32</f>
        <v>1.2951238041864037</v>
      </c>
    </row>
    <row r="34" spans="1:19" s="1311" customFormat="1">
      <c r="A34" s="1301" t="s">
        <v>1046</v>
      </c>
      <c r="B34" s="1307">
        <f>+I31</f>
        <v>576660600</v>
      </c>
      <c r="C34" s="1303">
        <f>+D31+1</f>
        <v>42840</v>
      </c>
      <c r="D34" s="1303">
        <f>+EDATE(D31,1)</f>
        <v>42869</v>
      </c>
      <c r="E34" s="1302">
        <f t="shared" si="4"/>
        <v>30</v>
      </c>
      <c r="F34" s="1304">
        <f t="shared" si="16"/>
        <v>0.1045</v>
      </c>
      <c r="G34" s="1302">
        <f t="shared" si="6"/>
        <v>4952961.5917808209</v>
      </c>
      <c r="H34" s="1302">
        <f t="shared" si="15"/>
        <v>2608200</v>
      </c>
      <c r="I34" s="864">
        <f t="shared" si="7"/>
        <v>574052400</v>
      </c>
      <c r="J34" s="1304">
        <v>4.1999999999999997E-3</v>
      </c>
      <c r="L34" s="1305" t="s">
        <v>1031</v>
      </c>
      <c r="M34" s="1320">
        <f>+M8-M28</f>
        <v>0.18717417548623239</v>
      </c>
      <c r="N34" s="1320">
        <f t="shared" ref="N34:S34" si="25">+N8-N28</f>
        <v>0.19966233405204026</v>
      </c>
      <c r="O34" s="1320">
        <f t="shared" si="25"/>
        <v>9.2815553468125866E-2</v>
      </c>
      <c r="P34" s="1320">
        <f t="shared" si="25"/>
        <v>7.3514755853393066E-2</v>
      </c>
      <c r="Q34" s="1320">
        <f t="shared" si="25"/>
        <v>0.16633030932151893</v>
      </c>
      <c r="R34" s="1320">
        <f t="shared" si="25"/>
        <v>0.14810975712372887</v>
      </c>
      <c r="S34" s="1320">
        <f t="shared" si="25"/>
        <v>0.13050126210443569</v>
      </c>
    </row>
    <row r="35" spans="1:19" s="1311" customFormat="1">
      <c r="A35" s="1301" t="s">
        <v>1046</v>
      </c>
      <c r="B35" s="1307">
        <f t="shared" si="1"/>
        <v>574052400</v>
      </c>
      <c r="C35" s="1303">
        <f t="shared" si="2"/>
        <v>42870</v>
      </c>
      <c r="D35" s="1303">
        <v>42870</v>
      </c>
      <c r="E35" s="1302">
        <f t="shared" si="4"/>
        <v>1</v>
      </c>
      <c r="F35" s="1304">
        <f t="shared" si="16"/>
        <v>0.1045</v>
      </c>
      <c r="G35" s="1302">
        <f t="shared" si="6"/>
        <v>164351.98849315068</v>
      </c>
      <c r="H35" s="1302"/>
      <c r="I35" s="864"/>
      <c r="J35" s="1304">
        <v>6.7000000000000002E-3</v>
      </c>
      <c r="L35" s="1298"/>
    </row>
    <row r="36" spans="1:19" s="1311" customFormat="1">
      <c r="A36" s="1301" t="s">
        <v>1046</v>
      </c>
      <c r="B36" s="1307"/>
      <c r="C36" s="1303">
        <f>+D35+1</f>
        <v>42871</v>
      </c>
      <c r="D36" s="1303">
        <f>+EDATE(D34,1)</f>
        <v>42900</v>
      </c>
      <c r="E36" s="1302">
        <f t="shared" si="4"/>
        <v>30</v>
      </c>
      <c r="F36" s="1304">
        <f>8.6%+0.65%</f>
        <v>9.2499999999999999E-2</v>
      </c>
      <c r="G36" s="1302">
        <f>+B35*F36*E36/365</f>
        <v>4364370.98630137</v>
      </c>
      <c r="H36" s="1302">
        <f>+$B$5*J35</f>
        <v>4160700</v>
      </c>
      <c r="I36" s="864">
        <f>+B35-H36</f>
        <v>569891700</v>
      </c>
      <c r="J36" s="1304"/>
      <c r="L36" s="1298"/>
    </row>
    <row r="37" spans="1:19" s="1311" customFormat="1">
      <c r="A37" s="1301" t="s">
        <v>1046</v>
      </c>
      <c r="B37" s="1307">
        <f>+I36</f>
        <v>569891700</v>
      </c>
      <c r="C37" s="1303">
        <f>+D36+1</f>
        <v>42901</v>
      </c>
      <c r="D37" s="1303">
        <f>+EDATE(D36,1)</f>
        <v>42930</v>
      </c>
      <c r="E37" s="1302">
        <f t="shared" si="4"/>
        <v>30</v>
      </c>
      <c r="F37" s="1304">
        <f t="shared" ref="F37:F108" si="26">8.6%+0.65%</f>
        <v>9.2499999999999999E-2</v>
      </c>
      <c r="G37" s="1302">
        <f t="shared" si="6"/>
        <v>4332738.2671232875</v>
      </c>
      <c r="H37" s="1302">
        <f t="shared" ref="H37:H108" si="27">+$B$5*J37</f>
        <v>4160700</v>
      </c>
      <c r="I37" s="864">
        <f t="shared" si="7"/>
        <v>565731000</v>
      </c>
      <c r="J37" s="1304">
        <v>6.7000000000000002E-3</v>
      </c>
      <c r="L37" s="1298"/>
    </row>
    <row r="38" spans="1:19" s="1311" customFormat="1">
      <c r="A38" s="1301" t="s">
        <v>1046</v>
      </c>
      <c r="B38" s="1307">
        <f t="shared" si="1"/>
        <v>565731000</v>
      </c>
      <c r="C38" s="1303">
        <f t="shared" si="2"/>
        <v>42931</v>
      </c>
      <c r="D38" s="1303">
        <f t="shared" si="3"/>
        <v>42961</v>
      </c>
      <c r="E38" s="1302">
        <f t="shared" si="4"/>
        <v>31</v>
      </c>
      <c r="F38" s="1304">
        <f t="shared" si="26"/>
        <v>9.2499999999999999E-2</v>
      </c>
      <c r="G38" s="1302">
        <f t="shared" si="6"/>
        <v>4444475.7328767125</v>
      </c>
      <c r="H38" s="1302">
        <f t="shared" si="27"/>
        <v>4160700</v>
      </c>
      <c r="I38" s="864">
        <f t="shared" si="7"/>
        <v>561570300</v>
      </c>
      <c r="J38" s="1304">
        <v>6.7000000000000002E-3</v>
      </c>
      <c r="L38" s="1298"/>
    </row>
    <row r="39" spans="1:19" s="1311" customFormat="1">
      <c r="A39" s="1301" t="s">
        <v>1046</v>
      </c>
      <c r="B39" s="1307">
        <f t="shared" si="1"/>
        <v>561570300</v>
      </c>
      <c r="C39" s="1303">
        <f t="shared" si="2"/>
        <v>42962</v>
      </c>
      <c r="D39" s="1303">
        <f t="shared" si="3"/>
        <v>42992</v>
      </c>
      <c r="E39" s="1302">
        <v>31</v>
      </c>
      <c r="F39" s="1304">
        <f t="shared" si="26"/>
        <v>9.2499999999999999E-2</v>
      </c>
      <c r="G39" s="1302">
        <f t="shared" si="6"/>
        <v>4411788.5897260271</v>
      </c>
      <c r="H39" s="1302">
        <f t="shared" si="27"/>
        <v>4160700</v>
      </c>
      <c r="I39" s="864">
        <f t="shared" si="7"/>
        <v>557409600</v>
      </c>
      <c r="J39" s="1304">
        <v>6.7000000000000002E-3</v>
      </c>
      <c r="L39" s="1298"/>
    </row>
    <row r="40" spans="1:19" s="1311" customFormat="1">
      <c r="A40" s="1301" t="s">
        <v>1046</v>
      </c>
      <c r="B40" s="1307">
        <f>+I39</f>
        <v>557409600</v>
      </c>
      <c r="C40" s="1303">
        <f>+D39+1</f>
        <v>42993</v>
      </c>
      <c r="D40" s="1303">
        <f>+EDATE(D39,1)</f>
        <v>43022</v>
      </c>
      <c r="E40" s="1302">
        <f t="shared" si="4"/>
        <v>30</v>
      </c>
      <c r="F40" s="1304">
        <f t="shared" si="26"/>
        <v>9.2499999999999999E-2</v>
      </c>
      <c r="G40" s="1302">
        <f t="shared" si="6"/>
        <v>4237840.1095890412</v>
      </c>
      <c r="H40" s="1302">
        <f t="shared" si="27"/>
        <v>4160700</v>
      </c>
      <c r="I40" s="864">
        <f t="shared" si="7"/>
        <v>553248900</v>
      </c>
      <c r="J40" s="1304">
        <v>6.7000000000000002E-3</v>
      </c>
      <c r="L40" s="1298"/>
    </row>
    <row r="41" spans="1:19" s="1311" customFormat="1">
      <c r="A41" s="1301" t="s">
        <v>1046</v>
      </c>
      <c r="B41" s="1307">
        <f t="shared" si="1"/>
        <v>553248900</v>
      </c>
      <c r="C41" s="1303">
        <f t="shared" si="2"/>
        <v>43023</v>
      </c>
      <c r="D41" s="1303">
        <f t="shared" si="3"/>
        <v>43053</v>
      </c>
      <c r="E41" s="1302">
        <f t="shared" si="4"/>
        <v>31</v>
      </c>
      <c r="F41" s="1304">
        <f t="shared" si="26"/>
        <v>9.2499999999999999E-2</v>
      </c>
      <c r="G41" s="1302">
        <f t="shared" si="6"/>
        <v>4346414.3034246573</v>
      </c>
      <c r="H41" s="1302">
        <f t="shared" si="27"/>
        <v>4160700</v>
      </c>
      <c r="I41" s="864">
        <f t="shared" si="7"/>
        <v>549088200</v>
      </c>
      <c r="J41" s="1304">
        <v>6.7000000000000002E-3</v>
      </c>
      <c r="L41" s="1298"/>
    </row>
    <row r="42" spans="1:19" s="1311" customFormat="1">
      <c r="A42" s="1301" t="s">
        <v>1046</v>
      </c>
      <c r="B42" s="1307">
        <f t="shared" si="1"/>
        <v>549088200</v>
      </c>
      <c r="C42" s="1303">
        <f t="shared" si="2"/>
        <v>43054</v>
      </c>
      <c r="D42" s="1303">
        <f t="shared" si="3"/>
        <v>43083</v>
      </c>
      <c r="E42" s="1302">
        <f t="shared" si="4"/>
        <v>30</v>
      </c>
      <c r="F42" s="1304">
        <f t="shared" si="26"/>
        <v>9.2499999999999999E-2</v>
      </c>
      <c r="G42" s="1302">
        <f t="shared" si="6"/>
        <v>4174574.6712328768</v>
      </c>
      <c r="H42" s="1302">
        <f t="shared" si="27"/>
        <v>4160700</v>
      </c>
      <c r="I42" s="864">
        <f t="shared" si="7"/>
        <v>544927500</v>
      </c>
      <c r="J42" s="1304">
        <v>6.7000000000000002E-3</v>
      </c>
      <c r="L42" s="1298"/>
    </row>
    <row r="43" spans="1:19" s="1311" customFormat="1">
      <c r="A43" s="1301" t="s">
        <v>1046</v>
      </c>
      <c r="B43" s="1307">
        <f t="shared" si="1"/>
        <v>544927500</v>
      </c>
      <c r="C43" s="1303">
        <f t="shared" si="2"/>
        <v>43084</v>
      </c>
      <c r="D43" s="1303">
        <f t="shared" si="3"/>
        <v>43114</v>
      </c>
      <c r="E43" s="1302">
        <f t="shared" si="4"/>
        <v>31</v>
      </c>
      <c r="F43" s="1304">
        <f t="shared" si="26"/>
        <v>9.2499999999999999E-2</v>
      </c>
      <c r="G43" s="1302">
        <f t="shared" si="6"/>
        <v>4281040.0171232875</v>
      </c>
      <c r="H43" s="1302">
        <f t="shared" si="27"/>
        <v>4160700</v>
      </c>
      <c r="I43" s="864">
        <f t="shared" si="7"/>
        <v>540766800</v>
      </c>
      <c r="J43" s="1304">
        <v>6.7000000000000002E-3</v>
      </c>
      <c r="L43" s="1298"/>
    </row>
    <row r="44" spans="1:19" s="1311" customFormat="1">
      <c r="A44" s="1301" t="s">
        <v>1046</v>
      </c>
      <c r="B44" s="1307">
        <f t="shared" si="1"/>
        <v>540766800</v>
      </c>
      <c r="C44" s="1303">
        <f t="shared" si="2"/>
        <v>43115</v>
      </c>
      <c r="D44" s="1303">
        <f t="shared" si="3"/>
        <v>43145</v>
      </c>
      <c r="E44" s="1302">
        <f t="shared" si="4"/>
        <v>31</v>
      </c>
      <c r="F44" s="1304">
        <f t="shared" si="26"/>
        <v>9.2499999999999999E-2</v>
      </c>
      <c r="G44" s="1302">
        <f t="shared" si="6"/>
        <v>4248352.8739726031</v>
      </c>
      <c r="H44" s="1302">
        <f t="shared" si="27"/>
        <v>4160700</v>
      </c>
      <c r="I44" s="864">
        <f t="shared" si="7"/>
        <v>536606100</v>
      </c>
      <c r="J44" s="1304">
        <v>6.7000000000000002E-3</v>
      </c>
      <c r="L44" s="1298"/>
    </row>
    <row r="45" spans="1:19" s="1311" customFormat="1">
      <c r="A45" s="1301" t="s">
        <v>1046</v>
      </c>
      <c r="B45" s="1307">
        <f t="shared" si="1"/>
        <v>536606100</v>
      </c>
      <c r="C45" s="1303">
        <f t="shared" si="2"/>
        <v>43146</v>
      </c>
      <c r="D45" s="1303">
        <f t="shared" si="3"/>
        <v>43173</v>
      </c>
      <c r="E45" s="1302">
        <f t="shared" si="4"/>
        <v>28</v>
      </c>
      <c r="F45" s="1304">
        <f t="shared" si="26"/>
        <v>9.2499999999999999E-2</v>
      </c>
      <c r="G45" s="1302">
        <f t="shared" si="6"/>
        <v>3807698.0794520546</v>
      </c>
      <c r="H45" s="1302">
        <f t="shared" si="27"/>
        <v>4160700</v>
      </c>
      <c r="I45" s="864">
        <f t="shared" si="7"/>
        <v>532445400</v>
      </c>
      <c r="J45" s="1304">
        <v>6.7000000000000002E-3</v>
      </c>
      <c r="L45" s="1298"/>
    </row>
    <row r="46" spans="1:19" s="1311" customFormat="1">
      <c r="A46" s="1313" t="s">
        <v>1047</v>
      </c>
      <c r="B46" s="1314">
        <f>+I45</f>
        <v>532445400</v>
      </c>
      <c r="C46" s="1315">
        <f>+D45+1</f>
        <v>43174</v>
      </c>
      <c r="D46" s="1315">
        <f>+EDATE(D45,1)</f>
        <v>43204</v>
      </c>
      <c r="E46" s="1316">
        <f t="shared" si="4"/>
        <v>31</v>
      </c>
      <c r="F46" s="1317">
        <f t="shared" si="26"/>
        <v>9.2499999999999999E-2</v>
      </c>
      <c r="G46" s="1316">
        <f t="shared" si="6"/>
        <v>4182978.5876712329</v>
      </c>
      <c r="H46" s="1316">
        <f t="shared" si="27"/>
        <v>4160700</v>
      </c>
      <c r="I46" s="867">
        <f t="shared" si="7"/>
        <v>528284700</v>
      </c>
      <c r="J46" s="1317">
        <v>6.7000000000000002E-3</v>
      </c>
      <c r="L46" s="1298"/>
    </row>
    <row r="47" spans="1:19" s="1311" customFormat="1">
      <c r="A47" s="1313" t="s">
        <v>1046</v>
      </c>
      <c r="B47" s="1314">
        <f>+B46</f>
        <v>532445400</v>
      </c>
      <c r="C47" s="1315">
        <f>+C46</f>
        <v>43174</v>
      </c>
      <c r="D47" s="1315">
        <v>43190</v>
      </c>
      <c r="E47" s="1316">
        <f t="shared" si="4"/>
        <v>17</v>
      </c>
      <c r="F47" s="1317">
        <f t="shared" si="26"/>
        <v>9.2499999999999999E-2</v>
      </c>
      <c r="G47" s="1316">
        <f t="shared" si="6"/>
        <v>2293891.4835616439</v>
      </c>
      <c r="H47" s="1316">
        <f>+$B$5*J47/2</f>
        <v>2080350</v>
      </c>
      <c r="I47" s="867">
        <f t="shared" si="7"/>
        <v>530365050</v>
      </c>
      <c r="J47" s="1317">
        <v>6.7000000000000002E-3</v>
      </c>
      <c r="L47" s="1298"/>
    </row>
    <row r="48" spans="1:19" s="1311" customFormat="1">
      <c r="A48" s="1313" t="s">
        <v>1047</v>
      </c>
      <c r="B48" s="1314">
        <f>+I47</f>
        <v>530365050</v>
      </c>
      <c r="C48" s="1315">
        <f>+D47+1</f>
        <v>43191</v>
      </c>
      <c r="D48" s="1315">
        <f>+D46</f>
        <v>43204</v>
      </c>
      <c r="E48" s="1316">
        <f t="shared" si="4"/>
        <v>14</v>
      </c>
      <c r="F48" s="1317">
        <f t="shared" si="26"/>
        <v>9.2499999999999999E-2</v>
      </c>
      <c r="G48" s="1316">
        <f>+G46-G47</f>
        <v>1889087.104109589</v>
      </c>
      <c r="H48" s="1316">
        <f>+$B$5*J48/2</f>
        <v>2080350</v>
      </c>
      <c r="I48" s="867">
        <f t="shared" si="7"/>
        <v>528284700</v>
      </c>
      <c r="J48" s="1317">
        <v>6.7000000000000002E-3</v>
      </c>
      <c r="L48" s="1298"/>
    </row>
    <row r="49" spans="1:12" s="1311" customFormat="1">
      <c r="A49" s="1301" t="s">
        <v>1047</v>
      </c>
      <c r="B49" s="1307">
        <f>+I46</f>
        <v>528284700</v>
      </c>
      <c r="C49" s="1303">
        <f>+D46+1</f>
        <v>43205</v>
      </c>
      <c r="D49" s="1303">
        <f>+EDATE(D46,1)</f>
        <v>43234</v>
      </c>
      <c r="E49" s="1302">
        <f t="shared" si="4"/>
        <v>30</v>
      </c>
      <c r="F49" s="1304">
        <f t="shared" si="26"/>
        <v>9.2499999999999999E-2</v>
      </c>
      <c r="G49" s="1302">
        <f t="shared" si="6"/>
        <v>4016411.0753424657</v>
      </c>
      <c r="H49" s="1302">
        <f t="shared" si="27"/>
        <v>4160700</v>
      </c>
      <c r="I49" s="864">
        <f t="shared" si="7"/>
        <v>524124000</v>
      </c>
      <c r="J49" s="1304">
        <v>6.7000000000000002E-3</v>
      </c>
      <c r="L49" s="1298"/>
    </row>
    <row r="50" spans="1:12" s="1311" customFormat="1">
      <c r="A50" s="1301" t="s">
        <v>1047</v>
      </c>
      <c r="B50" s="1307">
        <f t="shared" si="1"/>
        <v>524124000</v>
      </c>
      <c r="C50" s="1303">
        <f t="shared" si="2"/>
        <v>43235</v>
      </c>
      <c r="D50" s="1303">
        <f t="shared" si="3"/>
        <v>43265</v>
      </c>
      <c r="E50" s="1302">
        <f t="shared" si="4"/>
        <v>31</v>
      </c>
      <c r="F50" s="1304">
        <f t="shared" si="26"/>
        <v>9.2499999999999999E-2</v>
      </c>
      <c r="G50" s="1302">
        <f t="shared" si="6"/>
        <v>4117604.3013698631</v>
      </c>
      <c r="H50" s="1302">
        <f t="shared" si="27"/>
        <v>4905900.0000000009</v>
      </c>
      <c r="I50" s="864">
        <f t="shared" si="7"/>
        <v>519218100</v>
      </c>
      <c r="J50" s="1304">
        <v>7.9000000000000008E-3</v>
      </c>
      <c r="L50" s="1298"/>
    </row>
    <row r="51" spans="1:12">
      <c r="A51" s="1301" t="s">
        <v>1047</v>
      </c>
      <c r="B51" s="1307">
        <f t="shared" si="1"/>
        <v>519218100</v>
      </c>
      <c r="C51" s="1303">
        <f t="shared" si="2"/>
        <v>43266</v>
      </c>
      <c r="D51" s="1303">
        <f t="shared" si="3"/>
        <v>43295</v>
      </c>
      <c r="E51" s="1302">
        <f t="shared" si="4"/>
        <v>30</v>
      </c>
      <c r="F51" s="1304">
        <f t="shared" si="26"/>
        <v>9.2499999999999999E-2</v>
      </c>
      <c r="G51" s="1302">
        <f t="shared" si="6"/>
        <v>3947480.0753424657</v>
      </c>
      <c r="H51" s="1302">
        <f t="shared" si="27"/>
        <v>4905900.0000000009</v>
      </c>
      <c r="I51" s="864">
        <f t="shared" si="7"/>
        <v>514312200</v>
      </c>
      <c r="J51" s="1304">
        <v>7.9000000000000008E-3</v>
      </c>
    </row>
    <row r="52" spans="1:12">
      <c r="A52" s="1301" t="s">
        <v>1047</v>
      </c>
      <c r="B52" s="1307">
        <f t="shared" si="1"/>
        <v>514312200</v>
      </c>
      <c r="C52" s="1303">
        <f t="shared" si="2"/>
        <v>43296</v>
      </c>
      <c r="D52" s="1303">
        <f t="shared" si="3"/>
        <v>43326</v>
      </c>
      <c r="E52" s="1302">
        <f t="shared" si="4"/>
        <v>31</v>
      </c>
      <c r="F52" s="1304">
        <f t="shared" si="26"/>
        <v>9.2499999999999999E-2</v>
      </c>
      <c r="G52" s="1302">
        <f t="shared" si="6"/>
        <v>4040521.187671233</v>
      </c>
      <c r="H52" s="1302">
        <f t="shared" si="27"/>
        <v>4905900.0000000009</v>
      </c>
      <c r="I52" s="864">
        <f t="shared" si="7"/>
        <v>509406300</v>
      </c>
      <c r="J52" s="1304">
        <v>7.9000000000000008E-3</v>
      </c>
    </row>
    <row r="53" spans="1:12">
      <c r="A53" s="1301" t="s">
        <v>1047</v>
      </c>
      <c r="B53" s="1307">
        <f t="shared" si="1"/>
        <v>509406300</v>
      </c>
      <c r="C53" s="1303">
        <f t="shared" si="2"/>
        <v>43327</v>
      </c>
      <c r="D53" s="1303">
        <f t="shared" si="3"/>
        <v>43357</v>
      </c>
      <c r="E53" s="1302">
        <f t="shared" si="4"/>
        <v>31</v>
      </c>
      <c r="F53" s="1304">
        <f t="shared" si="26"/>
        <v>9.2499999999999999E-2</v>
      </c>
      <c r="G53" s="1302">
        <f t="shared" si="6"/>
        <v>4001979.6308219177</v>
      </c>
      <c r="H53" s="1302">
        <f t="shared" si="27"/>
        <v>4905900.0000000009</v>
      </c>
      <c r="I53" s="864">
        <f t="shared" si="7"/>
        <v>504500400</v>
      </c>
      <c r="J53" s="1304">
        <v>7.9000000000000008E-3</v>
      </c>
    </row>
    <row r="54" spans="1:12">
      <c r="A54" s="1321" t="s">
        <v>1047</v>
      </c>
      <c r="B54" s="1322">
        <f t="shared" si="1"/>
        <v>504500400</v>
      </c>
      <c r="C54" s="1323">
        <f t="shared" si="2"/>
        <v>43358</v>
      </c>
      <c r="D54" s="1323">
        <f t="shared" si="3"/>
        <v>43387</v>
      </c>
      <c r="E54" s="1324">
        <f t="shared" si="4"/>
        <v>30</v>
      </c>
      <c r="F54" s="1325">
        <f t="shared" si="26"/>
        <v>9.2499999999999999E-2</v>
      </c>
      <c r="G54" s="1324">
        <f t="shared" si="6"/>
        <v>3835585.2328767125</v>
      </c>
      <c r="H54" s="1324">
        <f t="shared" si="27"/>
        <v>4905900.0000000009</v>
      </c>
      <c r="I54" s="869">
        <f t="shared" si="7"/>
        <v>499594500</v>
      </c>
      <c r="J54" s="1325">
        <v>7.9000000000000008E-3</v>
      </c>
    </row>
    <row r="55" spans="1:12">
      <c r="A55" s="1301" t="s">
        <v>1047</v>
      </c>
      <c r="B55" s="1307">
        <f t="shared" si="1"/>
        <v>499594500</v>
      </c>
      <c r="C55" s="1303">
        <f t="shared" si="2"/>
        <v>43388</v>
      </c>
      <c r="D55" s="1303">
        <f t="shared" si="3"/>
        <v>43418</v>
      </c>
      <c r="E55" s="1302">
        <f t="shared" si="4"/>
        <v>31</v>
      </c>
      <c r="F55" s="1304">
        <f t="shared" si="26"/>
        <v>9.2499999999999999E-2</v>
      </c>
      <c r="G55" s="1302">
        <f t="shared" si="6"/>
        <v>3924896.5171232875</v>
      </c>
      <c r="H55" s="1302">
        <f t="shared" si="27"/>
        <v>4905900.0000000009</v>
      </c>
      <c r="I55" s="864">
        <f t="shared" si="7"/>
        <v>494688600</v>
      </c>
      <c r="J55" s="1304">
        <v>7.9000000000000008E-3</v>
      </c>
    </row>
    <row r="56" spans="1:12">
      <c r="A56" s="1301" t="s">
        <v>1047</v>
      </c>
      <c r="B56" s="1307">
        <f t="shared" si="1"/>
        <v>494688600</v>
      </c>
      <c r="C56" s="1303">
        <f t="shared" si="2"/>
        <v>43419</v>
      </c>
      <c r="D56" s="1303">
        <f t="shared" si="3"/>
        <v>43448</v>
      </c>
      <c r="E56" s="1302">
        <f t="shared" si="4"/>
        <v>30</v>
      </c>
      <c r="F56" s="1304">
        <f t="shared" si="26"/>
        <v>9.2499999999999999E-2</v>
      </c>
      <c r="G56" s="1302">
        <f t="shared" si="6"/>
        <v>3760988.6712328768</v>
      </c>
      <c r="H56" s="1302">
        <f t="shared" si="27"/>
        <v>4905900.0000000009</v>
      </c>
      <c r="I56" s="864">
        <f t="shared" si="7"/>
        <v>489782700</v>
      </c>
      <c r="J56" s="1304">
        <v>7.9000000000000008E-3</v>
      </c>
    </row>
    <row r="57" spans="1:12">
      <c r="A57" s="1301" t="s">
        <v>1047</v>
      </c>
      <c r="B57" s="1307">
        <f t="shared" si="1"/>
        <v>489782700</v>
      </c>
      <c r="C57" s="1303">
        <f t="shared" si="2"/>
        <v>43449</v>
      </c>
      <c r="D57" s="1303">
        <f t="shared" si="3"/>
        <v>43479</v>
      </c>
      <c r="E57" s="1302">
        <f t="shared" si="4"/>
        <v>31</v>
      </c>
      <c r="F57" s="1304">
        <f t="shared" si="26"/>
        <v>9.2499999999999999E-2</v>
      </c>
      <c r="G57" s="1302">
        <f t="shared" si="6"/>
        <v>3847813.4034246574</v>
      </c>
      <c r="H57" s="1302">
        <f t="shared" si="27"/>
        <v>4905900.0000000009</v>
      </c>
      <c r="I57" s="864">
        <f t="shared" si="7"/>
        <v>484876800</v>
      </c>
      <c r="J57" s="1304">
        <v>7.9000000000000008E-3</v>
      </c>
    </row>
    <row r="58" spans="1:12">
      <c r="A58" s="1301" t="s">
        <v>1047</v>
      </c>
      <c r="B58" s="1307">
        <f t="shared" si="1"/>
        <v>484876800</v>
      </c>
      <c r="C58" s="1303">
        <f t="shared" si="2"/>
        <v>43480</v>
      </c>
      <c r="D58" s="1303">
        <f t="shared" si="3"/>
        <v>43510</v>
      </c>
      <c r="E58" s="1302">
        <f t="shared" si="4"/>
        <v>31</v>
      </c>
      <c r="F58" s="1304">
        <f t="shared" si="26"/>
        <v>9.2499999999999999E-2</v>
      </c>
      <c r="G58" s="1302">
        <f t="shared" si="6"/>
        <v>3809271.8465753426</v>
      </c>
      <c r="H58" s="1302">
        <f t="shared" si="27"/>
        <v>4905900.0000000009</v>
      </c>
      <c r="I58" s="864">
        <f t="shared" si="7"/>
        <v>479970900</v>
      </c>
      <c r="J58" s="1304">
        <v>7.9000000000000008E-3</v>
      </c>
    </row>
    <row r="59" spans="1:12">
      <c r="A59" s="1301" t="s">
        <v>1047</v>
      </c>
      <c r="B59" s="1307">
        <f t="shared" si="1"/>
        <v>479970900</v>
      </c>
      <c r="C59" s="1303">
        <f t="shared" si="2"/>
        <v>43511</v>
      </c>
      <c r="D59" s="1303">
        <f t="shared" si="3"/>
        <v>43538</v>
      </c>
      <c r="E59" s="1302">
        <f t="shared" si="4"/>
        <v>28</v>
      </c>
      <c r="F59" s="1304">
        <f t="shared" si="26"/>
        <v>9.2499999999999999E-2</v>
      </c>
      <c r="G59" s="1302">
        <f t="shared" si="6"/>
        <v>3405820.9068493149</v>
      </c>
      <c r="H59" s="1302">
        <f t="shared" si="27"/>
        <v>4905900.0000000009</v>
      </c>
      <c r="I59" s="864">
        <f t="shared" si="7"/>
        <v>475065000</v>
      </c>
      <c r="J59" s="1304">
        <v>7.9000000000000008E-3</v>
      </c>
    </row>
    <row r="60" spans="1:12">
      <c r="A60" s="1313" t="s">
        <v>1047</v>
      </c>
      <c r="B60" s="1314">
        <f t="shared" si="1"/>
        <v>475065000</v>
      </c>
      <c r="C60" s="1315">
        <f t="shared" si="2"/>
        <v>43539</v>
      </c>
      <c r="D60" s="1315">
        <f t="shared" si="3"/>
        <v>43569</v>
      </c>
      <c r="E60" s="1316">
        <f t="shared" si="4"/>
        <v>31</v>
      </c>
      <c r="F60" s="1317">
        <f t="shared" si="26"/>
        <v>9.2499999999999999E-2</v>
      </c>
      <c r="G60" s="1316">
        <f t="shared" si="6"/>
        <v>3732188.7328767125</v>
      </c>
      <c r="H60" s="1316">
        <f t="shared" si="27"/>
        <v>4905900.0000000009</v>
      </c>
      <c r="I60" s="867">
        <f t="shared" si="7"/>
        <v>470159100</v>
      </c>
      <c r="J60" s="1317">
        <v>7.9000000000000008E-3</v>
      </c>
    </row>
    <row r="61" spans="1:12">
      <c r="A61" s="1313" t="s">
        <v>1047</v>
      </c>
      <c r="B61" s="1314">
        <f>+B60</f>
        <v>475065000</v>
      </c>
      <c r="C61" s="1315">
        <f>+C60</f>
        <v>43539</v>
      </c>
      <c r="D61" s="1315">
        <v>43555</v>
      </c>
      <c r="E61" s="1316">
        <f t="shared" si="4"/>
        <v>17</v>
      </c>
      <c r="F61" s="1317">
        <f t="shared" si="26"/>
        <v>9.2499999999999999E-2</v>
      </c>
      <c r="G61" s="1316">
        <f t="shared" si="6"/>
        <v>2046684.1438356165</v>
      </c>
      <c r="H61" s="1316">
        <f>+$B$5*J61/2</f>
        <v>2452950.0000000005</v>
      </c>
      <c r="I61" s="867">
        <f t="shared" si="7"/>
        <v>472612050</v>
      </c>
      <c r="J61" s="1317">
        <v>7.9000000000000008E-3</v>
      </c>
    </row>
    <row r="62" spans="1:12">
      <c r="A62" s="1313" t="s">
        <v>1048</v>
      </c>
      <c r="B62" s="1314">
        <f t="shared" si="1"/>
        <v>472612050</v>
      </c>
      <c r="C62" s="1315">
        <f t="shared" si="2"/>
        <v>43556</v>
      </c>
      <c r="D62" s="1315">
        <f>+D60</f>
        <v>43569</v>
      </c>
      <c r="E62" s="1316">
        <f t="shared" si="4"/>
        <v>14</v>
      </c>
      <c r="F62" s="1317">
        <f t="shared" si="26"/>
        <v>9.2499999999999999E-2</v>
      </c>
      <c r="G62" s="1316">
        <f>+G60-G61</f>
        <v>1685504.5890410959</v>
      </c>
      <c r="H62" s="1316">
        <f>+$B$5*J62/2</f>
        <v>2452950.0000000005</v>
      </c>
      <c r="I62" s="867">
        <f t="shared" si="7"/>
        <v>470159100</v>
      </c>
      <c r="J62" s="1317">
        <v>7.9000000000000008E-3</v>
      </c>
    </row>
    <row r="63" spans="1:12">
      <c r="A63" s="1301" t="s">
        <v>1048</v>
      </c>
      <c r="B63" s="1307">
        <f>+I60</f>
        <v>470159100</v>
      </c>
      <c r="C63" s="1303">
        <f>+D60+1</f>
        <v>43570</v>
      </c>
      <c r="D63" s="1303">
        <f>+EDATE(D60,1)</f>
        <v>43599</v>
      </c>
      <c r="E63" s="1302">
        <f t="shared" si="4"/>
        <v>30</v>
      </c>
      <c r="F63" s="1304">
        <f t="shared" si="26"/>
        <v>9.2499999999999999E-2</v>
      </c>
      <c r="G63" s="1302">
        <f t="shared" si="6"/>
        <v>3574497.2671232875</v>
      </c>
      <c r="H63" s="1302">
        <f t="shared" si="27"/>
        <v>4905900.0000000009</v>
      </c>
      <c r="I63" s="864">
        <f t="shared" si="7"/>
        <v>465253200</v>
      </c>
      <c r="J63" s="1304">
        <v>7.9000000000000008E-3</v>
      </c>
    </row>
    <row r="64" spans="1:12">
      <c r="A64" s="1301" t="s">
        <v>1048</v>
      </c>
      <c r="B64" s="1307">
        <f t="shared" si="1"/>
        <v>465253200</v>
      </c>
      <c r="C64" s="1303">
        <f t="shared" si="2"/>
        <v>43600</v>
      </c>
      <c r="D64" s="1303">
        <f t="shared" si="3"/>
        <v>43630</v>
      </c>
      <c r="E64" s="1302">
        <f t="shared" si="4"/>
        <v>31</v>
      </c>
      <c r="F64" s="1304">
        <f t="shared" si="26"/>
        <v>9.2499999999999999E-2</v>
      </c>
      <c r="G64" s="1302">
        <f t="shared" si="6"/>
        <v>3655105.6191780823</v>
      </c>
      <c r="H64" s="1302">
        <f t="shared" si="27"/>
        <v>5464800</v>
      </c>
      <c r="I64" s="864">
        <f t="shared" si="7"/>
        <v>459788400</v>
      </c>
      <c r="J64" s="1304">
        <v>8.8000000000000005E-3</v>
      </c>
    </row>
    <row r="65" spans="1:10">
      <c r="A65" s="1301" t="s">
        <v>1048</v>
      </c>
      <c r="B65" s="1307">
        <f t="shared" si="1"/>
        <v>459788400</v>
      </c>
      <c r="C65" s="1303">
        <f t="shared" si="2"/>
        <v>43631</v>
      </c>
      <c r="D65" s="1303">
        <f t="shared" si="3"/>
        <v>43660</v>
      </c>
      <c r="E65" s="1302">
        <f t="shared" si="4"/>
        <v>30</v>
      </c>
      <c r="F65" s="1304">
        <f t="shared" si="26"/>
        <v>9.2499999999999999E-2</v>
      </c>
      <c r="G65" s="1302">
        <f t="shared" si="6"/>
        <v>3495651.5342465756</v>
      </c>
      <c r="H65" s="1302">
        <f t="shared" si="27"/>
        <v>5464800</v>
      </c>
      <c r="I65" s="864">
        <f t="shared" si="7"/>
        <v>454323600</v>
      </c>
      <c r="J65" s="1304">
        <v>8.8000000000000005E-3</v>
      </c>
    </row>
    <row r="66" spans="1:10">
      <c r="A66" s="1301" t="s">
        <v>1048</v>
      </c>
      <c r="B66" s="1307">
        <f t="shared" si="1"/>
        <v>454323600</v>
      </c>
      <c r="C66" s="1303">
        <f t="shared" si="2"/>
        <v>43661</v>
      </c>
      <c r="D66" s="1303">
        <f t="shared" si="3"/>
        <v>43691</v>
      </c>
      <c r="E66" s="1302">
        <f t="shared" si="4"/>
        <v>31</v>
      </c>
      <c r="F66" s="1304">
        <f t="shared" si="26"/>
        <v>9.2499999999999999E-2</v>
      </c>
      <c r="G66" s="1302">
        <f t="shared" si="6"/>
        <v>3569240.8849315071</v>
      </c>
      <c r="H66" s="1302">
        <f t="shared" si="27"/>
        <v>5464800</v>
      </c>
      <c r="I66" s="864">
        <f t="shared" si="7"/>
        <v>448858800</v>
      </c>
      <c r="J66" s="1304">
        <v>8.8000000000000005E-3</v>
      </c>
    </row>
    <row r="67" spans="1:10">
      <c r="A67" s="1301" t="s">
        <v>1048</v>
      </c>
      <c r="B67" s="1307">
        <f t="shared" si="1"/>
        <v>448858800</v>
      </c>
      <c r="C67" s="1303">
        <f t="shared" si="2"/>
        <v>43692</v>
      </c>
      <c r="D67" s="1303">
        <f t="shared" si="3"/>
        <v>43722</v>
      </c>
      <c r="E67" s="1302">
        <f t="shared" si="4"/>
        <v>31</v>
      </c>
      <c r="F67" s="1304">
        <f t="shared" si="26"/>
        <v>9.2499999999999999E-2</v>
      </c>
      <c r="G67" s="1302">
        <f t="shared" si="6"/>
        <v>3526308.517808219</v>
      </c>
      <c r="H67" s="1302">
        <f t="shared" si="27"/>
        <v>5464800</v>
      </c>
      <c r="I67" s="864">
        <f t="shared" si="7"/>
        <v>443394000</v>
      </c>
      <c r="J67" s="1304">
        <v>8.8000000000000005E-3</v>
      </c>
    </row>
    <row r="68" spans="1:10">
      <c r="A68" s="1301" t="s">
        <v>1048</v>
      </c>
      <c r="B68" s="1307">
        <f t="shared" si="1"/>
        <v>443394000</v>
      </c>
      <c r="C68" s="1303">
        <f t="shared" si="2"/>
        <v>43723</v>
      </c>
      <c r="D68" s="1303">
        <f t="shared" si="3"/>
        <v>43752</v>
      </c>
      <c r="E68" s="1302">
        <f t="shared" si="4"/>
        <v>30</v>
      </c>
      <c r="F68" s="1304">
        <f t="shared" si="26"/>
        <v>9.2499999999999999E-2</v>
      </c>
      <c r="G68" s="1302">
        <f t="shared" si="6"/>
        <v>3371009.1780821919</v>
      </c>
      <c r="H68" s="1302">
        <f t="shared" si="27"/>
        <v>5464800</v>
      </c>
      <c r="I68" s="864">
        <f t="shared" si="7"/>
        <v>437929200</v>
      </c>
      <c r="J68" s="1304">
        <v>8.8000000000000005E-3</v>
      </c>
    </row>
    <row r="69" spans="1:10">
      <c r="A69" s="1301" t="s">
        <v>1048</v>
      </c>
      <c r="B69" s="1307">
        <f t="shared" si="1"/>
        <v>437929200</v>
      </c>
      <c r="C69" s="1303">
        <f t="shared" si="2"/>
        <v>43753</v>
      </c>
      <c r="D69" s="1303">
        <f t="shared" si="3"/>
        <v>43783</v>
      </c>
      <c r="E69" s="1302">
        <f t="shared" si="4"/>
        <v>31</v>
      </c>
      <c r="F69" s="1304">
        <f t="shared" si="26"/>
        <v>9.2499999999999999E-2</v>
      </c>
      <c r="G69" s="1302">
        <f t="shared" si="6"/>
        <v>3440443.7835616437</v>
      </c>
      <c r="H69" s="1302">
        <f t="shared" si="27"/>
        <v>5464800</v>
      </c>
      <c r="I69" s="864">
        <f t="shared" si="7"/>
        <v>432464400</v>
      </c>
      <c r="J69" s="1304">
        <v>8.8000000000000005E-3</v>
      </c>
    </row>
    <row r="70" spans="1:10">
      <c r="A70" s="1301" t="s">
        <v>1048</v>
      </c>
      <c r="B70" s="1307">
        <f t="shared" si="1"/>
        <v>432464400</v>
      </c>
      <c r="C70" s="1303">
        <f t="shared" si="2"/>
        <v>43784</v>
      </c>
      <c r="D70" s="1303">
        <f t="shared" si="3"/>
        <v>43813</v>
      </c>
      <c r="E70" s="1302">
        <f t="shared" si="4"/>
        <v>30</v>
      </c>
      <c r="F70" s="1304">
        <f t="shared" si="26"/>
        <v>9.2499999999999999E-2</v>
      </c>
      <c r="G70" s="1302">
        <f t="shared" si="6"/>
        <v>3287914.2739726026</v>
      </c>
      <c r="H70" s="1302">
        <f t="shared" si="27"/>
        <v>5464800</v>
      </c>
      <c r="I70" s="864">
        <f t="shared" si="7"/>
        <v>426999600</v>
      </c>
      <c r="J70" s="1304">
        <v>8.8000000000000005E-3</v>
      </c>
    </row>
    <row r="71" spans="1:10">
      <c r="A71" s="1301" t="s">
        <v>1048</v>
      </c>
      <c r="B71" s="1307">
        <f t="shared" si="1"/>
        <v>426999600</v>
      </c>
      <c r="C71" s="1303">
        <f t="shared" si="2"/>
        <v>43814</v>
      </c>
      <c r="D71" s="1303">
        <f t="shared" ref="D71:D134" si="28">+EDATE(D70,1)</f>
        <v>43844</v>
      </c>
      <c r="E71" s="1302">
        <f t="shared" si="4"/>
        <v>31</v>
      </c>
      <c r="F71" s="1304">
        <f t="shared" si="26"/>
        <v>9.2499999999999999E-2</v>
      </c>
      <c r="G71" s="1302">
        <f t="shared" si="6"/>
        <v>3354579.0493150684</v>
      </c>
      <c r="H71" s="1302">
        <f t="shared" si="27"/>
        <v>5464800</v>
      </c>
      <c r="I71" s="864">
        <f t="shared" si="7"/>
        <v>421534800</v>
      </c>
      <c r="J71" s="1304">
        <v>8.8000000000000005E-3</v>
      </c>
    </row>
    <row r="72" spans="1:10">
      <c r="A72" s="1301" t="s">
        <v>1048</v>
      </c>
      <c r="B72" s="1307">
        <f t="shared" si="1"/>
        <v>421534800</v>
      </c>
      <c r="C72" s="1303">
        <f t="shared" si="2"/>
        <v>43845</v>
      </c>
      <c r="D72" s="1303">
        <f t="shared" si="28"/>
        <v>43875</v>
      </c>
      <c r="E72" s="1302">
        <f t="shared" si="4"/>
        <v>31</v>
      </c>
      <c r="F72" s="1304">
        <f t="shared" si="26"/>
        <v>9.2499999999999999E-2</v>
      </c>
      <c r="G72" s="1302">
        <f t="shared" si="6"/>
        <v>3311646.6821917808</v>
      </c>
      <c r="H72" s="1302">
        <f t="shared" si="27"/>
        <v>5464800</v>
      </c>
      <c r="I72" s="864">
        <f t="shared" si="7"/>
        <v>416070000</v>
      </c>
      <c r="J72" s="1304">
        <v>8.8000000000000005E-3</v>
      </c>
    </row>
    <row r="73" spans="1:10">
      <c r="A73" s="1301" t="s">
        <v>1048</v>
      </c>
      <c r="B73" s="1307">
        <f t="shared" si="1"/>
        <v>416070000</v>
      </c>
      <c r="C73" s="1303">
        <f t="shared" si="2"/>
        <v>43876</v>
      </c>
      <c r="D73" s="1303">
        <f t="shared" si="28"/>
        <v>43904</v>
      </c>
      <c r="E73" s="1302">
        <f t="shared" si="4"/>
        <v>29</v>
      </c>
      <c r="F73" s="1304">
        <f t="shared" si="26"/>
        <v>9.2499999999999999E-2</v>
      </c>
      <c r="G73" s="1302">
        <f t="shared" si="6"/>
        <v>3057829.5205479451</v>
      </c>
      <c r="H73" s="1302">
        <f t="shared" si="27"/>
        <v>5464800</v>
      </c>
      <c r="I73" s="864">
        <f t="shared" si="7"/>
        <v>410605200</v>
      </c>
      <c r="J73" s="1304">
        <v>8.8000000000000005E-3</v>
      </c>
    </row>
    <row r="74" spans="1:10">
      <c r="A74" s="1313" t="s">
        <v>1048</v>
      </c>
      <c r="B74" s="1314">
        <f t="shared" si="1"/>
        <v>410605200</v>
      </c>
      <c r="C74" s="1315">
        <f t="shared" si="2"/>
        <v>43905</v>
      </c>
      <c r="D74" s="1315">
        <f t="shared" si="28"/>
        <v>43935</v>
      </c>
      <c r="E74" s="1316">
        <f t="shared" si="4"/>
        <v>31</v>
      </c>
      <c r="F74" s="1317">
        <f t="shared" si="26"/>
        <v>9.2499999999999999E-2</v>
      </c>
      <c r="G74" s="1316">
        <f t="shared" si="6"/>
        <v>3225781.9479452055</v>
      </c>
      <c r="H74" s="1316">
        <f t="shared" si="27"/>
        <v>5464800</v>
      </c>
      <c r="I74" s="867">
        <f t="shared" si="7"/>
        <v>405140400</v>
      </c>
      <c r="J74" s="1317">
        <v>8.8000000000000005E-3</v>
      </c>
    </row>
    <row r="75" spans="1:10">
      <c r="A75" s="1313" t="s">
        <v>1048</v>
      </c>
      <c r="B75" s="1314">
        <f>+B74</f>
        <v>410605200</v>
      </c>
      <c r="C75" s="1315">
        <f>+C74</f>
        <v>43905</v>
      </c>
      <c r="D75" s="1315">
        <v>43921</v>
      </c>
      <c r="E75" s="1316">
        <f t="shared" si="4"/>
        <v>17</v>
      </c>
      <c r="F75" s="1317">
        <f t="shared" si="26"/>
        <v>9.2499999999999999E-2</v>
      </c>
      <c r="G75" s="1316">
        <f t="shared" si="6"/>
        <v>1768977.1972602741</v>
      </c>
      <c r="H75" s="1316">
        <f>+$B$5*J75/2</f>
        <v>2732400</v>
      </c>
      <c r="I75" s="867">
        <f t="shared" si="7"/>
        <v>407872800</v>
      </c>
      <c r="J75" s="1317">
        <v>8.8000000000000005E-3</v>
      </c>
    </row>
    <row r="76" spans="1:10">
      <c r="A76" s="1313" t="s">
        <v>1049</v>
      </c>
      <c r="B76" s="1314">
        <f t="shared" si="1"/>
        <v>407872800</v>
      </c>
      <c r="C76" s="1315">
        <f t="shared" si="2"/>
        <v>43922</v>
      </c>
      <c r="D76" s="1315">
        <f>+D74</f>
        <v>43935</v>
      </c>
      <c r="E76" s="1316">
        <f t="shared" si="4"/>
        <v>14</v>
      </c>
      <c r="F76" s="1317">
        <f t="shared" si="26"/>
        <v>9.2499999999999999E-2</v>
      </c>
      <c r="G76" s="1316">
        <f>+G74-G75</f>
        <v>1456804.7506849314</v>
      </c>
      <c r="H76" s="1316">
        <f>+$B$5*J76/2</f>
        <v>2732400</v>
      </c>
      <c r="I76" s="867">
        <f t="shared" si="7"/>
        <v>405140400</v>
      </c>
      <c r="J76" s="1317">
        <v>8.8000000000000005E-3</v>
      </c>
    </row>
    <row r="77" spans="1:10">
      <c r="A77" s="1301" t="s">
        <v>1049</v>
      </c>
      <c r="B77" s="1307">
        <f>+I74</f>
        <v>405140400</v>
      </c>
      <c r="C77" s="1303">
        <f>+D74+1</f>
        <v>43936</v>
      </c>
      <c r="D77" s="1303">
        <f>+EDATE(D74,1)</f>
        <v>43965</v>
      </c>
      <c r="E77" s="1302">
        <f t="shared" si="4"/>
        <v>30</v>
      </c>
      <c r="F77" s="1304">
        <f t="shared" si="26"/>
        <v>9.2499999999999999E-2</v>
      </c>
      <c r="G77" s="1302">
        <f t="shared" si="6"/>
        <v>3080177.01369863</v>
      </c>
      <c r="H77" s="1302">
        <f t="shared" si="27"/>
        <v>5464800</v>
      </c>
      <c r="I77" s="864">
        <f t="shared" si="7"/>
        <v>399675600</v>
      </c>
      <c r="J77" s="1304">
        <v>8.8000000000000005E-3</v>
      </c>
    </row>
    <row r="78" spans="1:10">
      <c r="A78" s="1301" t="s">
        <v>1049</v>
      </c>
      <c r="B78" s="1307">
        <f t="shared" si="1"/>
        <v>399675600</v>
      </c>
      <c r="C78" s="1303">
        <f t="shared" si="2"/>
        <v>43966</v>
      </c>
      <c r="D78" s="1303">
        <f t="shared" si="28"/>
        <v>43996</v>
      </c>
      <c r="E78" s="1302">
        <f t="shared" si="4"/>
        <v>31</v>
      </c>
      <c r="F78" s="1304">
        <f t="shared" si="26"/>
        <v>9.2499999999999999E-2</v>
      </c>
      <c r="G78" s="1302">
        <f t="shared" si="6"/>
        <v>3139917.2136986302</v>
      </c>
      <c r="H78" s="1302">
        <f t="shared" si="27"/>
        <v>5713200</v>
      </c>
      <c r="I78" s="864">
        <f t="shared" si="7"/>
        <v>393962400</v>
      </c>
      <c r="J78" s="1304">
        <v>9.1999999999999998E-3</v>
      </c>
    </row>
    <row r="79" spans="1:10">
      <c r="A79" s="1301" t="s">
        <v>1049</v>
      </c>
      <c r="B79" s="1307">
        <f t="shared" si="1"/>
        <v>393962400</v>
      </c>
      <c r="C79" s="1303">
        <f t="shared" si="2"/>
        <v>43997</v>
      </c>
      <c r="D79" s="1303">
        <f t="shared" si="28"/>
        <v>44026</v>
      </c>
      <c r="E79" s="1302">
        <f t="shared" si="4"/>
        <v>30</v>
      </c>
      <c r="F79" s="1304">
        <f t="shared" si="26"/>
        <v>9.2499999999999999E-2</v>
      </c>
      <c r="G79" s="1302">
        <f t="shared" si="6"/>
        <v>2995193.5890410957</v>
      </c>
      <c r="H79" s="1302">
        <f t="shared" si="27"/>
        <v>5713200</v>
      </c>
      <c r="I79" s="864">
        <f t="shared" si="7"/>
        <v>388249200</v>
      </c>
      <c r="J79" s="1304">
        <v>9.1999999999999998E-3</v>
      </c>
    </row>
    <row r="80" spans="1:10">
      <c r="A80" s="1301" t="s">
        <v>1049</v>
      </c>
      <c r="B80" s="1307">
        <f t="shared" si="1"/>
        <v>388249200</v>
      </c>
      <c r="C80" s="1303">
        <f t="shared" si="2"/>
        <v>44027</v>
      </c>
      <c r="D80" s="1303">
        <f t="shared" si="28"/>
        <v>44057</v>
      </c>
      <c r="E80" s="1302">
        <f t="shared" si="4"/>
        <v>31</v>
      </c>
      <c r="F80" s="1304">
        <f t="shared" si="26"/>
        <v>9.2499999999999999E-2</v>
      </c>
      <c r="G80" s="1302">
        <f t="shared" si="6"/>
        <v>3050149.5369863012</v>
      </c>
      <c r="H80" s="1302">
        <f t="shared" si="27"/>
        <v>5713200</v>
      </c>
      <c r="I80" s="864">
        <f t="shared" si="7"/>
        <v>382536000</v>
      </c>
      <c r="J80" s="1304">
        <v>9.1999999999999998E-3</v>
      </c>
    </row>
    <row r="81" spans="1:10">
      <c r="A81" s="1301" t="s">
        <v>1049</v>
      </c>
      <c r="B81" s="1307">
        <f t="shared" si="1"/>
        <v>382536000</v>
      </c>
      <c r="C81" s="1303">
        <f t="shared" si="2"/>
        <v>44058</v>
      </c>
      <c r="D81" s="1303">
        <f t="shared" si="28"/>
        <v>44088</v>
      </c>
      <c r="E81" s="1302">
        <f t="shared" si="4"/>
        <v>31</v>
      </c>
      <c r="F81" s="1304">
        <f t="shared" si="26"/>
        <v>9.2499999999999999E-2</v>
      </c>
      <c r="G81" s="1302">
        <f t="shared" si="6"/>
        <v>3005265.6986301369</v>
      </c>
      <c r="H81" s="1302">
        <f t="shared" si="27"/>
        <v>5713200</v>
      </c>
      <c r="I81" s="864">
        <f t="shared" si="7"/>
        <v>376822800</v>
      </c>
      <c r="J81" s="1304">
        <v>9.1999999999999998E-3</v>
      </c>
    </row>
    <row r="82" spans="1:10">
      <c r="A82" s="1301" t="s">
        <v>1049</v>
      </c>
      <c r="B82" s="1307">
        <f t="shared" si="1"/>
        <v>376822800</v>
      </c>
      <c r="C82" s="1303">
        <f t="shared" si="2"/>
        <v>44089</v>
      </c>
      <c r="D82" s="1303">
        <f t="shared" si="28"/>
        <v>44118</v>
      </c>
      <c r="E82" s="1302">
        <f t="shared" si="4"/>
        <v>30</v>
      </c>
      <c r="F82" s="1304">
        <f t="shared" si="26"/>
        <v>9.2499999999999999E-2</v>
      </c>
      <c r="G82" s="1302">
        <f t="shared" si="6"/>
        <v>2864885.6712328768</v>
      </c>
      <c r="H82" s="1302">
        <f t="shared" si="27"/>
        <v>5713200</v>
      </c>
      <c r="I82" s="864">
        <f t="shared" si="7"/>
        <v>371109600</v>
      </c>
      <c r="J82" s="1304">
        <v>9.1999999999999998E-3</v>
      </c>
    </row>
    <row r="83" spans="1:10">
      <c r="A83" s="1301" t="s">
        <v>1049</v>
      </c>
      <c r="B83" s="1307">
        <f t="shared" si="1"/>
        <v>371109600</v>
      </c>
      <c r="C83" s="1303">
        <f t="shared" si="2"/>
        <v>44119</v>
      </c>
      <c r="D83" s="1303">
        <f t="shared" si="28"/>
        <v>44149</v>
      </c>
      <c r="E83" s="1302">
        <f t="shared" si="4"/>
        <v>31</v>
      </c>
      <c r="F83" s="1304">
        <f t="shared" si="26"/>
        <v>9.2499999999999999E-2</v>
      </c>
      <c r="G83" s="1302">
        <f t="shared" si="6"/>
        <v>2915498.0219178083</v>
      </c>
      <c r="H83" s="1302">
        <f t="shared" si="27"/>
        <v>5713200</v>
      </c>
      <c r="I83" s="864">
        <f t="shared" si="7"/>
        <v>365396400</v>
      </c>
      <c r="J83" s="1304">
        <v>9.1999999999999998E-3</v>
      </c>
    </row>
    <row r="84" spans="1:10">
      <c r="A84" s="1301" t="s">
        <v>1049</v>
      </c>
      <c r="B84" s="1307">
        <f t="shared" ref="B84:B139" si="29">+I83</f>
        <v>365396400</v>
      </c>
      <c r="C84" s="1303">
        <f t="shared" ref="C84:C139" si="30">+D83+1</f>
        <v>44150</v>
      </c>
      <c r="D84" s="1303">
        <f t="shared" si="28"/>
        <v>44179</v>
      </c>
      <c r="E84" s="1302">
        <f t="shared" ref="E84:E139" si="31">+D84-C84+1</f>
        <v>30</v>
      </c>
      <c r="F84" s="1304">
        <f t="shared" si="26"/>
        <v>9.2499999999999999E-2</v>
      </c>
      <c r="G84" s="1302">
        <f t="shared" ref="G84:G139" si="32">+B84*F84*E84/365</f>
        <v>2778013.7260273974</v>
      </c>
      <c r="H84" s="1302">
        <f t="shared" si="27"/>
        <v>5713200</v>
      </c>
      <c r="I84" s="864">
        <f t="shared" ref="I84:I139" si="33">+B84-H84</f>
        <v>359683200</v>
      </c>
      <c r="J84" s="1304">
        <v>9.1999999999999998E-3</v>
      </c>
    </row>
    <row r="85" spans="1:10">
      <c r="A85" s="1301" t="s">
        <v>1049</v>
      </c>
      <c r="B85" s="1307">
        <f t="shared" si="29"/>
        <v>359683200</v>
      </c>
      <c r="C85" s="1303">
        <f t="shared" si="30"/>
        <v>44180</v>
      </c>
      <c r="D85" s="1303">
        <f t="shared" si="28"/>
        <v>44210</v>
      </c>
      <c r="E85" s="1302">
        <f t="shared" si="31"/>
        <v>31</v>
      </c>
      <c r="F85" s="1304">
        <f t="shared" si="26"/>
        <v>9.2499999999999999E-2</v>
      </c>
      <c r="G85" s="1302">
        <f t="shared" si="32"/>
        <v>2825730.3452054793</v>
      </c>
      <c r="H85" s="1302">
        <f t="shared" si="27"/>
        <v>5713200</v>
      </c>
      <c r="I85" s="864">
        <f t="shared" si="33"/>
        <v>353970000</v>
      </c>
      <c r="J85" s="1304">
        <v>9.1999999999999998E-3</v>
      </c>
    </row>
    <row r="86" spans="1:10">
      <c r="A86" s="1301" t="s">
        <v>1049</v>
      </c>
      <c r="B86" s="1307">
        <f t="shared" si="29"/>
        <v>353970000</v>
      </c>
      <c r="C86" s="1303">
        <f t="shared" si="30"/>
        <v>44211</v>
      </c>
      <c r="D86" s="1303">
        <f t="shared" si="28"/>
        <v>44241</v>
      </c>
      <c r="E86" s="1302">
        <f t="shared" si="31"/>
        <v>31</v>
      </c>
      <c r="F86" s="1304">
        <f t="shared" si="26"/>
        <v>9.2499999999999999E-2</v>
      </c>
      <c r="G86" s="1302">
        <f t="shared" si="32"/>
        <v>2780846.506849315</v>
      </c>
      <c r="H86" s="1302">
        <f t="shared" si="27"/>
        <v>5713200</v>
      </c>
      <c r="I86" s="864">
        <f t="shared" si="33"/>
        <v>348256800</v>
      </c>
      <c r="J86" s="1304">
        <v>9.1999999999999998E-3</v>
      </c>
    </row>
    <row r="87" spans="1:10">
      <c r="A87" s="1301" t="s">
        <v>1049</v>
      </c>
      <c r="B87" s="1307">
        <f t="shared" si="29"/>
        <v>348256800</v>
      </c>
      <c r="C87" s="1303">
        <f t="shared" si="30"/>
        <v>44242</v>
      </c>
      <c r="D87" s="1303">
        <f t="shared" si="28"/>
        <v>44269</v>
      </c>
      <c r="E87" s="1302">
        <f t="shared" si="31"/>
        <v>28</v>
      </c>
      <c r="F87" s="1304">
        <f t="shared" si="26"/>
        <v>9.2499999999999999E-2</v>
      </c>
      <c r="G87" s="1302">
        <f t="shared" si="32"/>
        <v>2471192.0876712329</v>
      </c>
      <c r="H87" s="1302">
        <f t="shared" si="27"/>
        <v>5713200</v>
      </c>
      <c r="I87" s="864">
        <f t="shared" si="33"/>
        <v>342543600</v>
      </c>
      <c r="J87" s="1304">
        <v>9.1999999999999998E-3</v>
      </c>
    </row>
    <row r="88" spans="1:10">
      <c r="A88" s="1313" t="s">
        <v>1049</v>
      </c>
      <c r="B88" s="1314">
        <f t="shared" si="29"/>
        <v>342543600</v>
      </c>
      <c r="C88" s="1315">
        <f t="shared" si="30"/>
        <v>44270</v>
      </c>
      <c r="D88" s="1315">
        <f t="shared" si="28"/>
        <v>44300</v>
      </c>
      <c r="E88" s="1316">
        <f t="shared" si="31"/>
        <v>31</v>
      </c>
      <c r="F88" s="1317">
        <f t="shared" si="26"/>
        <v>9.2499999999999999E-2</v>
      </c>
      <c r="G88" s="1316">
        <f t="shared" si="32"/>
        <v>2691078.8301369864</v>
      </c>
      <c r="H88" s="1316">
        <f>+$B$5*J88</f>
        <v>5713200</v>
      </c>
      <c r="I88" s="867">
        <f t="shared" si="33"/>
        <v>336830400</v>
      </c>
      <c r="J88" s="1317">
        <v>9.1999999999999998E-3</v>
      </c>
    </row>
    <row r="89" spans="1:10">
      <c r="A89" s="1313" t="s">
        <v>1049</v>
      </c>
      <c r="B89" s="1314">
        <f>+B88</f>
        <v>342543600</v>
      </c>
      <c r="C89" s="1315">
        <f>+C88</f>
        <v>44270</v>
      </c>
      <c r="D89" s="1315">
        <v>44286</v>
      </c>
      <c r="E89" s="1316">
        <f t="shared" si="31"/>
        <v>17</v>
      </c>
      <c r="F89" s="1317">
        <f t="shared" si="26"/>
        <v>9.2499999999999999E-2</v>
      </c>
      <c r="G89" s="1316">
        <f t="shared" si="32"/>
        <v>1475752.9068493152</v>
      </c>
      <c r="H89" s="1316">
        <f>+$B$5*J89/2</f>
        <v>2856600</v>
      </c>
      <c r="I89" s="867">
        <f t="shared" si="33"/>
        <v>339687000</v>
      </c>
      <c r="J89" s="1317">
        <v>9.1999999999999998E-3</v>
      </c>
    </row>
    <row r="90" spans="1:10">
      <c r="A90" s="1313" t="s">
        <v>1050</v>
      </c>
      <c r="B90" s="1314">
        <f t="shared" si="29"/>
        <v>339687000</v>
      </c>
      <c r="C90" s="1315">
        <f t="shared" si="30"/>
        <v>44287</v>
      </c>
      <c r="D90" s="1315">
        <f>+D88</f>
        <v>44300</v>
      </c>
      <c r="E90" s="1316">
        <f t="shared" si="31"/>
        <v>14</v>
      </c>
      <c r="F90" s="1317">
        <f t="shared" si="26"/>
        <v>9.2499999999999999E-2</v>
      </c>
      <c r="G90" s="1316">
        <f>+G88-G89</f>
        <v>1215325.9232876713</v>
      </c>
      <c r="H90" s="1316">
        <f>+$B$5*J90/2</f>
        <v>2856600</v>
      </c>
      <c r="I90" s="867">
        <f t="shared" si="33"/>
        <v>336830400</v>
      </c>
      <c r="J90" s="1317">
        <v>9.1999999999999998E-3</v>
      </c>
    </row>
    <row r="91" spans="1:10">
      <c r="A91" s="1301" t="s">
        <v>1050</v>
      </c>
      <c r="B91" s="1307">
        <f>+I88</f>
        <v>336830400</v>
      </c>
      <c r="C91" s="1303">
        <f>+D88+1</f>
        <v>44301</v>
      </c>
      <c r="D91" s="1303">
        <f>+EDATE(D88,1)</f>
        <v>44330</v>
      </c>
      <c r="E91" s="1302">
        <f t="shared" si="31"/>
        <v>30</v>
      </c>
      <c r="F91" s="1304">
        <f t="shared" si="26"/>
        <v>9.2499999999999999E-2</v>
      </c>
      <c r="G91" s="1302">
        <f t="shared" si="32"/>
        <v>2560833.8630136987</v>
      </c>
      <c r="H91" s="1302">
        <f t="shared" si="27"/>
        <v>5713200</v>
      </c>
      <c r="I91" s="864">
        <f t="shared" si="33"/>
        <v>331117200</v>
      </c>
      <c r="J91" s="1304">
        <v>9.1999999999999998E-3</v>
      </c>
    </row>
    <row r="92" spans="1:10">
      <c r="A92" s="1301" t="s">
        <v>1050</v>
      </c>
      <c r="B92" s="1307">
        <f t="shared" si="29"/>
        <v>331117200</v>
      </c>
      <c r="C92" s="1303">
        <f t="shared" si="30"/>
        <v>44331</v>
      </c>
      <c r="D92" s="1303">
        <f t="shared" si="28"/>
        <v>44361</v>
      </c>
      <c r="E92" s="1302">
        <f t="shared" si="31"/>
        <v>31</v>
      </c>
      <c r="F92" s="1304">
        <f t="shared" si="26"/>
        <v>9.2499999999999999E-2</v>
      </c>
      <c r="G92" s="1302">
        <f t="shared" si="32"/>
        <v>2601311.1534246574</v>
      </c>
      <c r="H92" s="1302">
        <f t="shared" si="27"/>
        <v>6210000</v>
      </c>
      <c r="I92" s="864">
        <f t="shared" si="33"/>
        <v>324907200</v>
      </c>
      <c r="J92" s="1304">
        <v>0.01</v>
      </c>
    </row>
    <row r="93" spans="1:10">
      <c r="A93" s="1301" t="s">
        <v>1050</v>
      </c>
      <c r="B93" s="1307">
        <f t="shared" si="29"/>
        <v>324907200</v>
      </c>
      <c r="C93" s="1303">
        <f t="shared" si="30"/>
        <v>44362</v>
      </c>
      <c r="D93" s="1303">
        <f t="shared" si="28"/>
        <v>44391</v>
      </c>
      <c r="E93" s="1302">
        <f t="shared" si="31"/>
        <v>30</v>
      </c>
      <c r="F93" s="1304">
        <f t="shared" si="26"/>
        <v>9.2499999999999999E-2</v>
      </c>
      <c r="G93" s="1302">
        <f t="shared" si="32"/>
        <v>2470184.8767123288</v>
      </c>
      <c r="H93" s="1302">
        <f t="shared" si="27"/>
        <v>6210000</v>
      </c>
      <c r="I93" s="864">
        <f t="shared" si="33"/>
        <v>318697200</v>
      </c>
      <c r="J93" s="1304">
        <v>0.01</v>
      </c>
    </row>
    <row r="94" spans="1:10">
      <c r="A94" s="1301" t="s">
        <v>1050</v>
      </c>
      <c r="B94" s="1307">
        <f t="shared" si="29"/>
        <v>318697200</v>
      </c>
      <c r="C94" s="1303">
        <f t="shared" si="30"/>
        <v>44392</v>
      </c>
      <c r="D94" s="1303">
        <f t="shared" si="28"/>
        <v>44422</v>
      </c>
      <c r="E94" s="1302">
        <f t="shared" si="31"/>
        <v>31</v>
      </c>
      <c r="F94" s="1304">
        <f t="shared" si="26"/>
        <v>9.2499999999999999E-2</v>
      </c>
      <c r="G94" s="1302">
        <f t="shared" si="32"/>
        <v>2503737.5917808218</v>
      </c>
      <c r="H94" s="1302">
        <f t="shared" si="27"/>
        <v>6210000</v>
      </c>
      <c r="I94" s="864">
        <f t="shared" si="33"/>
        <v>312487200</v>
      </c>
      <c r="J94" s="1304">
        <v>0.01</v>
      </c>
    </row>
    <row r="95" spans="1:10">
      <c r="A95" s="1301" t="s">
        <v>1050</v>
      </c>
      <c r="B95" s="1307">
        <f t="shared" si="29"/>
        <v>312487200</v>
      </c>
      <c r="C95" s="1303">
        <f t="shared" si="30"/>
        <v>44423</v>
      </c>
      <c r="D95" s="1303">
        <f t="shared" si="28"/>
        <v>44453</v>
      </c>
      <c r="E95" s="1302">
        <f t="shared" si="31"/>
        <v>31</v>
      </c>
      <c r="F95" s="1304">
        <f t="shared" si="26"/>
        <v>9.2499999999999999E-2</v>
      </c>
      <c r="G95" s="1302">
        <f t="shared" si="32"/>
        <v>2454950.8109589042</v>
      </c>
      <c r="H95" s="1302">
        <f t="shared" si="27"/>
        <v>6210000</v>
      </c>
      <c r="I95" s="864">
        <f t="shared" si="33"/>
        <v>306277200</v>
      </c>
      <c r="J95" s="1304">
        <v>0.01</v>
      </c>
    </row>
    <row r="96" spans="1:10">
      <c r="A96" s="1301" t="s">
        <v>1050</v>
      </c>
      <c r="B96" s="1307">
        <f t="shared" si="29"/>
        <v>306277200</v>
      </c>
      <c r="C96" s="1303">
        <f t="shared" si="30"/>
        <v>44454</v>
      </c>
      <c r="D96" s="1303">
        <f t="shared" si="28"/>
        <v>44483</v>
      </c>
      <c r="E96" s="1302">
        <f t="shared" si="31"/>
        <v>30</v>
      </c>
      <c r="F96" s="1304">
        <f t="shared" si="26"/>
        <v>9.2499999999999999E-2</v>
      </c>
      <c r="G96" s="1302">
        <f t="shared" si="32"/>
        <v>2328545.8356164382</v>
      </c>
      <c r="H96" s="1302">
        <f t="shared" si="27"/>
        <v>6210000</v>
      </c>
      <c r="I96" s="864">
        <f t="shared" si="33"/>
        <v>300067200</v>
      </c>
      <c r="J96" s="1304">
        <v>0.01</v>
      </c>
    </row>
    <row r="97" spans="1:10">
      <c r="A97" s="1301" t="s">
        <v>1050</v>
      </c>
      <c r="B97" s="1307">
        <f t="shared" si="29"/>
        <v>300067200</v>
      </c>
      <c r="C97" s="1303">
        <f t="shared" si="30"/>
        <v>44484</v>
      </c>
      <c r="D97" s="1303">
        <f t="shared" si="28"/>
        <v>44514</v>
      </c>
      <c r="E97" s="1302">
        <f t="shared" si="31"/>
        <v>31</v>
      </c>
      <c r="F97" s="1304">
        <f t="shared" si="26"/>
        <v>9.2499999999999999E-2</v>
      </c>
      <c r="G97" s="1302">
        <f t="shared" si="32"/>
        <v>2357377.2493150686</v>
      </c>
      <c r="H97" s="1302">
        <f t="shared" si="27"/>
        <v>6210000</v>
      </c>
      <c r="I97" s="864">
        <f t="shared" si="33"/>
        <v>293857200</v>
      </c>
      <c r="J97" s="1304">
        <v>0.01</v>
      </c>
    </row>
    <row r="98" spans="1:10">
      <c r="A98" s="1301" t="s">
        <v>1050</v>
      </c>
      <c r="B98" s="1307">
        <f t="shared" si="29"/>
        <v>293857200</v>
      </c>
      <c r="C98" s="1303">
        <f t="shared" si="30"/>
        <v>44515</v>
      </c>
      <c r="D98" s="1303">
        <f t="shared" si="28"/>
        <v>44544</v>
      </c>
      <c r="E98" s="1302">
        <f t="shared" si="31"/>
        <v>30</v>
      </c>
      <c r="F98" s="1304">
        <f t="shared" si="26"/>
        <v>9.2499999999999999E-2</v>
      </c>
      <c r="G98" s="1302">
        <f t="shared" si="32"/>
        <v>2234119.8082191781</v>
      </c>
      <c r="H98" s="1302">
        <f t="shared" si="27"/>
        <v>6210000</v>
      </c>
      <c r="I98" s="864">
        <f t="shared" si="33"/>
        <v>287647200</v>
      </c>
      <c r="J98" s="1304">
        <v>0.01</v>
      </c>
    </row>
    <row r="99" spans="1:10">
      <c r="A99" s="1301" t="s">
        <v>1050</v>
      </c>
      <c r="B99" s="1307">
        <f t="shared" si="29"/>
        <v>287647200</v>
      </c>
      <c r="C99" s="1303">
        <f t="shared" si="30"/>
        <v>44545</v>
      </c>
      <c r="D99" s="1303">
        <f t="shared" si="28"/>
        <v>44575</v>
      </c>
      <c r="E99" s="1302">
        <f t="shared" si="31"/>
        <v>31</v>
      </c>
      <c r="F99" s="1304">
        <f t="shared" si="26"/>
        <v>9.2499999999999999E-2</v>
      </c>
      <c r="G99" s="1302">
        <f t="shared" si="32"/>
        <v>2259803.687671233</v>
      </c>
      <c r="H99" s="1302">
        <f t="shared" si="27"/>
        <v>6210000</v>
      </c>
      <c r="I99" s="864">
        <f t="shared" si="33"/>
        <v>281437200</v>
      </c>
      <c r="J99" s="1304">
        <v>0.01</v>
      </c>
    </row>
    <row r="100" spans="1:10">
      <c r="A100" s="1301" t="s">
        <v>1050</v>
      </c>
      <c r="B100" s="1307">
        <f t="shared" si="29"/>
        <v>281437200</v>
      </c>
      <c r="C100" s="1303">
        <f t="shared" si="30"/>
        <v>44576</v>
      </c>
      <c r="D100" s="1303">
        <f t="shared" si="28"/>
        <v>44606</v>
      </c>
      <c r="E100" s="1302">
        <f t="shared" si="31"/>
        <v>31</v>
      </c>
      <c r="F100" s="1304">
        <f t="shared" si="26"/>
        <v>9.2499999999999999E-2</v>
      </c>
      <c r="G100" s="1302">
        <f t="shared" si="32"/>
        <v>2211016.9068493149</v>
      </c>
      <c r="H100" s="1302">
        <f t="shared" si="27"/>
        <v>6210000</v>
      </c>
      <c r="I100" s="864">
        <f t="shared" si="33"/>
        <v>275227200</v>
      </c>
      <c r="J100" s="1304">
        <v>0.01</v>
      </c>
    </row>
    <row r="101" spans="1:10">
      <c r="A101" s="1301" t="s">
        <v>1050</v>
      </c>
      <c r="B101" s="1307">
        <f t="shared" si="29"/>
        <v>275227200</v>
      </c>
      <c r="C101" s="1303">
        <f t="shared" si="30"/>
        <v>44607</v>
      </c>
      <c r="D101" s="1303">
        <f t="shared" si="28"/>
        <v>44634</v>
      </c>
      <c r="E101" s="1302">
        <f t="shared" si="31"/>
        <v>28</v>
      </c>
      <c r="F101" s="1304">
        <f t="shared" si="26"/>
        <v>9.2499999999999999E-2</v>
      </c>
      <c r="G101" s="1302">
        <f t="shared" si="32"/>
        <v>1952982.0493150684</v>
      </c>
      <c r="H101" s="1302">
        <f t="shared" si="27"/>
        <v>6210000</v>
      </c>
      <c r="I101" s="864">
        <f t="shared" si="33"/>
        <v>269017200</v>
      </c>
      <c r="J101" s="1304">
        <v>0.01</v>
      </c>
    </row>
    <row r="102" spans="1:10">
      <c r="A102" s="1301" t="s">
        <v>1051</v>
      </c>
      <c r="B102" s="1307">
        <f t="shared" si="29"/>
        <v>269017200</v>
      </c>
      <c r="C102" s="1303">
        <f t="shared" si="30"/>
        <v>44635</v>
      </c>
      <c r="D102" s="1303">
        <f t="shared" si="28"/>
        <v>44665</v>
      </c>
      <c r="E102" s="1302">
        <f t="shared" si="31"/>
        <v>31</v>
      </c>
      <c r="F102" s="1304">
        <f t="shared" si="26"/>
        <v>9.2499999999999999E-2</v>
      </c>
      <c r="G102" s="1302">
        <f t="shared" si="32"/>
        <v>2113443.3452054793</v>
      </c>
      <c r="H102" s="1302">
        <f t="shared" si="27"/>
        <v>6210000</v>
      </c>
      <c r="I102" s="864">
        <f t="shared" si="33"/>
        <v>262807200</v>
      </c>
      <c r="J102" s="1304">
        <v>0.01</v>
      </c>
    </row>
    <row r="103" spans="1:10">
      <c r="A103" s="1301" t="s">
        <v>1051</v>
      </c>
      <c r="B103" s="1307">
        <f t="shared" si="29"/>
        <v>262807200</v>
      </c>
      <c r="C103" s="1303">
        <f t="shared" si="30"/>
        <v>44666</v>
      </c>
      <c r="D103" s="1303">
        <f t="shared" si="28"/>
        <v>44695</v>
      </c>
      <c r="E103" s="1302">
        <f t="shared" si="31"/>
        <v>30</v>
      </c>
      <c r="F103" s="1304">
        <f t="shared" si="26"/>
        <v>9.2499999999999999E-2</v>
      </c>
      <c r="G103" s="1302">
        <f t="shared" si="32"/>
        <v>1998054.7397260275</v>
      </c>
      <c r="H103" s="1302">
        <f t="shared" si="27"/>
        <v>6210000</v>
      </c>
      <c r="I103" s="864">
        <f t="shared" si="33"/>
        <v>256597200</v>
      </c>
      <c r="J103" s="1304">
        <v>0.01</v>
      </c>
    </row>
    <row r="104" spans="1:10">
      <c r="A104" s="1301" t="s">
        <v>1051</v>
      </c>
      <c r="B104" s="1307">
        <f t="shared" si="29"/>
        <v>256597200</v>
      </c>
      <c r="C104" s="1303">
        <f t="shared" si="30"/>
        <v>44696</v>
      </c>
      <c r="D104" s="1303">
        <f t="shared" si="28"/>
        <v>44726</v>
      </c>
      <c r="E104" s="1302">
        <f t="shared" si="31"/>
        <v>31</v>
      </c>
      <c r="F104" s="1304">
        <f t="shared" si="26"/>
        <v>9.2499999999999999E-2</v>
      </c>
      <c r="G104" s="1302">
        <f t="shared" si="32"/>
        <v>2015869.7835616439</v>
      </c>
      <c r="H104" s="1302">
        <f t="shared" si="27"/>
        <v>6706800</v>
      </c>
      <c r="I104" s="864">
        <f t="shared" si="33"/>
        <v>249890400</v>
      </c>
      <c r="J104" s="1304">
        <v>1.0800000000000001E-2</v>
      </c>
    </row>
    <row r="105" spans="1:10">
      <c r="A105" s="1301" t="s">
        <v>1051</v>
      </c>
      <c r="B105" s="1307">
        <f t="shared" si="29"/>
        <v>249890400</v>
      </c>
      <c r="C105" s="1303">
        <f t="shared" si="30"/>
        <v>44727</v>
      </c>
      <c r="D105" s="1303">
        <f t="shared" si="28"/>
        <v>44756</v>
      </c>
      <c r="E105" s="1302">
        <f t="shared" si="31"/>
        <v>30</v>
      </c>
      <c r="F105" s="1304">
        <f t="shared" si="26"/>
        <v>9.2499999999999999E-2</v>
      </c>
      <c r="G105" s="1302">
        <f t="shared" si="32"/>
        <v>1899851.6712328766</v>
      </c>
      <c r="H105" s="1302">
        <f t="shared" si="27"/>
        <v>6706800</v>
      </c>
      <c r="I105" s="864">
        <f t="shared" si="33"/>
        <v>243183600</v>
      </c>
      <c r="J105" s="1304">
        <v>1.0800000000000001E-2</v>
      </c>
    </row>
    <row r="106" spans="1:10">
      <c r="A106" s="1301" t="s">
        <v>1051</v>
      </c>
      <c r="B106" s="1307">
        <f t="shared" si="29"/>
        <v>243183600</v>
      </c>
      <c r="C106" s="1303">
        <f t="shared" si="30"/>
        <v>44757</v>
      </c>
      <c r="D106" s="1303">
        <f t="shared" si="28"/>
        <v>44787</v>
      </c>
      <c r="E106" s="1302">
        <f t="shared" si="31"/>
        <v>31</v>
      </c>
      <c r="F106" s="1304">
        <f t="shared" si="26"/>
        <v>9.2499999999999999E-2</v>
      </c>
      <c r="G106" s="1302">
        <f t="shared" si="32"/>
        <v>1910490.3369863015</v>
      </c>
      <c r="H106" s="1302">
        <f t="shared" si="27"/>
        <v>6706800</v>
      </c>
      <c r="I106" s="864">
        <f t="shared" si="33"/>
        <v>236476800</v>
      </c>
      <c r="J106" s="1304">
        <v>1.0800000000000001E-2</v>
      </c>
    </row>
    <row r="107" spans="1:10">
      <c r="A107" s="1301" t="s">
        <v>1051</v>
      </c>
      <c r="B107" s="1307">
        <f t="shared" si="29"/>
        <v>236476800</v>
      </c>
      <c r="C107" s="1303">
        <f t="shared" si="30"/>
        <v>44788</v>
      </c>
      <c r="D107" s="1303">
        <f t="shared" si="28"/>
        <v>44818</v>
      </c>
      <c r="E107" s="1302">
        <f t="shared" si="31"/>
        <v>31</v>
      </c>
      <c r="F107" s="1304">
        <f t="shared" si="26"/>
        <v>9.2499999999999999E-2</v>
      </c>
      <c r="G107" s="1302">
        <f t="shared" si="32"/>
        <v>1857800.6136986301</v>
      </c>
      <c r="H107" s="1302">
        <f t="shared" si="27"/>
        <v>6706800</v>
      </c>
      <c r="I107" s="864">
        <f t="shared" si="33"/>
        <v>229770000</v>
      </c>
      <c r="J107" s="1304">
        <v>1.0800000000000001E-2</v>
      </c>
    </row>
    <row r="108" spans="1:10">
      <c r="A108" s="1301" t="s">
        <v>1051</v>
      </c>
      <c r="B108" s="1307">
        <f t="shared" si="29"/>
        <v>229770000</v>
      </c>
      <c r="C108" s="1303">
        <f t="shared" si="30"/>
        <v>44819</v>
      </c>
      <c r="D108" s="1303">
        <f t="shared" si="28"/>
        <v>44848</v>
      </c>
      <c r="E108" s="1302">
        <f t="shared" si="31"/>
        <v>30</v>
      </c>
      <c r="F108" s="1304">
        <f t="shared" si="26"/>
        <v>9.2499999999999999E-2</v>
      </c>
      <c r="G108" s="1302">
        <f t="shared" si="32"/>
        <v>1746881.506849315</v>
      </c>
      <c r="H108" s="1302">
        <f t="shared" si="27"/>
        <v>6706800</v>
      </c>
      <c r="I108" s="864">
        <f t="shared" si="33"/>
        <v>223063200</v>
      </c>
      <c r="J108" s="1304">
        <v>1.0800000000000001E-2</v>
      </c>
    </row>
    <row r="109" spans="1:10">
      <c r="A109" s="1301" t="s">
        <v>1051</v>
      </c>
      <c r="B109" s="1307">
        <f t="shared" si="29"/>
        <v>223063200</v>
      </c>
      <c r="C109" s="1303">
        <f t="shared" si="30"/>
        <v>44849</v>
      </c>
      <c r="D109" s="1303">
        <f t="shared" si="28"/>
        <v>44879</v>
      </c>
      <c r="E109" s="1302">
        <f t="shared" si="31"/>
        <v>31</v>
      </c>
      <c r="F109" s="1304">
        <f t="shared" ref="F109:F139" si="34">8.6%+0.65%</f>
        <v>9.2499999999999999E-2</v>
      </c>
      <c r="G109" s="1302">
        <f t="shared" si="32"/>
        <v>1752421.1671232877</v>
      </c>
      <c r="H109" s="1302">
        <f t="shared" ref="H109:H138" si="35">+$B$5*J109</f>
        <v>6706800</v>
      </c>
      <c r="I109" s="864">
        <f t="shared" si="33"/>
        <v>216356400</v>
      </c>
      <c r="J109" s="1304">
        <v>1.0800000000000001E-2</v>
      </c>
    </row>
    <row r="110" spans="1:10">
      <c r="A110" s="1301" t="s">
        <v>1051</v>
      </c>
      <c r="B110" s="1307">
        <f t="shared" si="29"/>
        <v>216356400</v>
      </c>
      <c r="C110" s="1303">
        <f t="shared" si="30"/>
        <v>44880</v>
      </c>
      <c r="D110" s="1303">
        <f t="shared" si="28"/>
        <v>44909</v>
      </c>
      <c r="E110" s="1302">
        <f t="shared" si="31"/>
        <v>30</v>
      </c>
      <c r="F110" s="1304">
        <f t="shared" si="34"/>
        <v>9.2499999999999999E-2</v>
      </c>
      <c r="G110" s="1302">
        <f t="shared" si="32"/>
        <v>1644901.397260274</v>
      </c>
      <c r="H110" s="1302">
        <f t="shared" si="35"/>
        <v>6706800</v>
      </c>
      <c r="I110" s="864">
        <f t="shared" si="33"/>
        <v>209649600</v>
      </c>
      <c r="J110" s="1304">
        <v>1.0800000000000001E-2</v>
      </c>
    </row>
    <row r="111" spans="1:10">
      <c r="A111" s="1301" t="s">
        <v>1051</v>
      </c>
      <c r="B111" s="1307">
        <f t="shared" si="29"/>
        <v>209649600</v>
      </c>
      <c r="C111" s="1303">
        <f t="shared" si="30"/>
        <v>44910</v>
      </c>
      <c r="D111" s="1303">
        <f t="shared" si="28"/>
        <v>44940</v>
      </c>
      <c r="E111" s="1302">
        <f t="shared" si="31"/>
        <v>31</v>
      </c>
      <c r="F111" s="1304">
        <f t="shared" si="34"/>
        <v>9.2499999999999999E-2</v>
      </c>
      <c r="G111" s="1302">
        <f t="shared" si="32"/>
        <v>1647041.7205479452</v>
      </c>
      <c r="H111" s="1302">
        <f t="shared" si="35"/>
        <v>6706800</v>
      </c>
      <c r="I111" s="864">
        <f t="shared" si="33"/>
        <v>202942800</v>
      </c>
      <c r="J111" s="1304">
        <v>1.0800000000000001E-2</v>
      </c>
    </row>
    <row r="112" spans="1:10">
      <c r="A112" s="1301" t="s">
        <v>1051</v>
      </c>
      <c r="B112" s="1307">
        <f t="shared" si="29"/>
        <v>202942800</v>
      </c>
      <c r="C112" s="1303">
        <f t="shared" si="30"/>
        <v>44941</v>
      </c>
      <c r="D112" s="1303">
        <f t="shared" si="28"/>
        <v>44971</v>
      </c>
      <c r="E112" s="1302">
        <f t="shared" si="31"/>
        <v>31</v>
      </c>
      <c r="F112" s="1304">
        <f t="shared" si="34"/>
        <v>9.2499999999999999E-2</v>
      </c>
      <c r="G112" s="1302">
        <f t="shared" si="32"/>
        <v>1594351.9972602739</v>
      </c>
      <c r="H112" s="1302">
        <f t="shared" si="35"/>
        <v>6706800</v>
      </c>
      <c r="I112" s="864">
        <f t="shared" si="33"/>
        <v>196236000</v>
      </c>
      <c r="J112" s="1304">
        <v>1.0800000000000001E-2</v>
      </c>
    </row>
    <row r="113" spans="1:10">
      <c r="A113" s="1301" t="s">
        <v>1051</v>
      </c>
      <c r="B113" s="1307">
        <f t="shared" si="29"/>
        <v>196236000</v>
      </c>
      <c r="C113" s="1303">
        <f t="shared" si="30"/>
        <v>44972</v>
      </c>
      <c r="D113" s="1303">
        <f t="shared" si="28"/>
        <v>44999</v>
      </c>
      <c r="E113" s="1302">
        <f t="shared" si="31"/>
        <v>28</v>
      </c>
      <c r="F113" s="1304">
        <f t="shared" si="34"/>
        <v>9.2499999999999999E-2</v>
      </c>
      <c r="G113" s="1302">
        <f t="shared" si="32"/>
        <v>1392469.1506849315</v>
      </c>
      <c r="H113" s="1302">
        <f t="shared" si="35"/>
        <v>6706800</v>
      </c>
      <c r="I113" s="864">
        <f t="shared" si="33"/>
        <v>189529200</v>
      </c>
      <c r="J113" s="1304">
        <v>1.0800000000000001E-2</v>
      </c>
    </row>
    <row r="114" spans="1:10">
      <c r="A114" s="1301" t="s">
        <v>1052</v>
      </c>
      <c r="B114" s="1307">
        <f t="shared" si="29"/>
        <v>189529200</v>
      </c>
      <c r="C114" s="1303">
        <f t="shared" si="30"/>
        <v>45000</v>
      </c>
      <c r="D114" s="1303">
        <f t="shared" si="28"/>
        <v>45030</v>
      </c>
      <c r="E114" s="1302">
        <f t="shared" si="31"/>
        <v>31</v>
      </c>
      <c r="F114" s="1304">
        <f t="shared" si="34"/>
        <v>9.2499999999999999E-2</v>
      </c>
      <c r="G114" s="1302">
        <f t="shared" si="32"/>
        <v>1488972.5506849315</v>
      </c>
      <c r="H114" s="1302">
        <f t="shared" si="35"/>
        <v>6706800</v>
      </c>
      <c r="I114" s="864">
        <f t="shared" si="33"/>
        <v>182822400</v>
      </c>
      <c r="J114" s="1304">
        <v>1.0800000000000001E-2</v>
      </c>
    </row>
    <row r="115" spans="1:10">
      <c r="A115" s="1301" t="s">
        <v>1052</v>
      </c>
      <c r="B115" s="1307">
        <f t="shared" si="29"/>
        <v>182822400</v>
      </c>
      <c r="C115" s="1303">
        <f t="shared" si="30"/>
        <v>45031</v>
      </c>
      <c r="D115" s="1303">
        <f t="shared" si="28"/>
        <v>45060</v>
      </c>
      <c r="E115" s="1302">
        <f t="shared" si="31"/>
        <v>30</v>
      </c>
      <c r="F115" s="1304">
        <f t="shared" si="34"/>
        <v>9.2499999999999999E-2</v>
      </c>
      <c r="G115" s="1302">
        <f t="shared" si="32"/>
        <v>1389951.1232876712</v>
      </c>
      <c r="H115" s="1302">
        <f t="shared" si="35"/>
        <v>6706800</v>
      </c>
      <c r="I115" s="864">
        <f t="shared" si="33"/>
        <v>176115600</v>
      </c>
      <c r="J115" s="1304">
        <v>1.0800000000000001E-2</v>
      </c>
    </row>
    <row r="116" spans="1:10">
      <c r="A116" s="1301" t="s">
        <v>1052</v>
      </c>
      <c r="B116" s="1307">
        <f t="shared" si="29"/>
        <v>176115600</v>
      </c>
      <c r="C116" s="1303">
        <f t="shared" si="30"/>
        <v>45061</v>
      </c>
      <c r="D116" s="1303">
        <f t="shared" si="28"/>
        <v>45091</v>
      </c>
      <c r="E116" s="1302">
        <f t="shared" si="31"/>
        <v>31</v>
      </c>
      <c r="F116" s="1304">
        <f t="shared" si="34"/>
        <v>9.2499999999999999E-2</v>
      </c>
      <c r="G116" s="1302">
        <f t="shared" si="32"/>
        <v>1383593.104109589</v>
      </c>
      <c r="H116" s="1302">
        <f t="shared" si="35"/>
        <v>7265700</v>
      </c>
      <c r="I116" s="864">
        <f t="shared" si="33"/>
        <v>168849900</v>
      </c>
      <c r="J116" s="1304">
        <v>1.17E-2</v>
      </c>
    </row>
    <row r="117" spans="1:10">
      <c r="A117" s="1301" t="s">
        <v>1052</v>
      </c>
      <c r="B117" s="1307">
        <f t="shared" si="29"/>
        <v>168849900</v>
      </c>
      <c r="C117" s="1303">
        <f t="shared" si="30"/>
        <v>45092</v>
      </c>
      <c r="D117" s="1303">
        <f t="shared" si="28"/>
        <v>45121</v>
      </c>
      <c r="E117" s="1302">
        <f t="shared" si="31"/>
        <v>30</v>
      </c>
      <c r="F117" s="1304">
        <f t="shared" si="34"/>
        <v>9.2499999999999999E-2</v>
      </c>
      <c r="G117" s="1302">
        <f t="shared" si="32"/>
        <v>1283721.8424657534</v>
      </c>
      <c r="H117" s="1302">
        <f t="shared" si="35"/>
        <v>7265700</v>
      </c>
      <c r="I117" s="864">
        <f t="shared" si="33"/>
        <v>161584200</v>
      </c>
      <c r="J117" s="1304">
        <v>1.17E-2</v>
      </c>
    </row>
    <row r="118" spans="1:10">
      <c r="A118" s="1301" t="s">
        <v>1052</v>
      </c>
      <c r="B118" s="1307">
        <f t="shared" si="29"/>
        <v>161584200</v>
      </c>
      <c r="C118" s="1303">
        <f t="shared" si="30"/>
        <v>45122</v>
      </c>
      <c r="D118" s="1303">
        <f t="shared" si="28"/>
        <v>45152</v>
      </c>
      <c r="E118" s="1302">
        <f t="shared" si="31"/>
        <v>31</v>
      </c>
      <c r="F118" s="1304">
        <f t="shared" si="34"/>
        <v>9.2499999999999999E-2</v>
      </c>
      <c r="G118" s="1302">
        <f t="shared" si="32"/>
        <v>1269432.0369863014</v>
      </c>
      <c r="H118" s="1302">
        <f t="shared" si="35"/>
        <v>7265700</v>
      </c>
      <c r="I118" s="864">
        <f t="shared" si="33"/>
        <v>154318500</v>
      </c>
      <c r="J118" s="1304">
        <v>1.17E-2</v>
      </c>
    </row>
    <row r="119" spans="1:10">
      <c r="A119" s="1301" t="s">
        <v>1052</v>
      </c>
      <c r="B119" s="1307">
        <f t="shared" si="29"/>
        <v>154318500</v>
      </c>
      <c r="C119" s="1303">
        <f t="shared" si="30"/>
        <v>45153</v>
      </c>
      <c r="D119" s="1303">
        <f t="shared" si="28"/>
        <v>45183</v>
      </c>
      <c r="E119" s="1302">
        <f t="shared" si="31"/>
        <v>31</v>
      </c>
      <c r="F119" s="1304">
        <f t="shared" si="34"/>
        <v>9.2499999999999999E-2</v>
      </c>
      <c r="G119" s="1302">
        <f t="shared" si="32"/>
        <v>1212351.5034246575</v>
      </c>
      <c r="H119" s="1302">
        <f t="shared" si="35"/>
        <v>7265700</v>
      </c>
      <c r="I119" s="864">
        <f t="shared" si="33"/>
        <v>147052800</v>
      </c>
      <c r="J119" s="1304">
        <v>1.17E-2</v>
      </c>
    </row>
    <row r="120" spans="1:10">
      <c r="A120" s="1301" t="s">
        <v>1052</v>
      </c>
      <c r="B120" s="1307">
        <f t="shared" si="29"/>
        <v>147052800</v>
      </c>
      <c r="C120" s="1303">
        <f t="shared" si="30"/>
        <v>45184</v>
      </c>
      <c r="D120" s="1303">
        <f t="shared" si="28"/>
        <v>45213</v>
      </c>
      <c r="E120" s="1302">
        <f t="shared" si="31"/>
        <v>30</v>
      </c>
      <c r="F120" s="1304">
        <f t="shared" si="34"/>
        <v>9.2499999999999999E-2</v>
      </c>
      <c r="G120" s="1302">
        <f t="shared" si="32"/>
        <v>1118004.1643835616</v>
      </c>
      <c r="H120" s="1302">
        <f t="shared" si="35"/>
        <v>7265700</v>
      </c>
      <c r="I120" s="864">
        <f t="shared" si="33"/>
        <v>139787100</v>
      </c>
      <c r="J120" s="1304">
        <v>1.17E-2</v>
      </c>
    </row>
    <row r="121" spans="1:10">
      <c r="A121" s="1301" t="s">
        <v>1052</v>
      </c>
      <c r="B121" s="1307">
        <f t="shared" si="29"/>
        <v>139787100</v>
      </c>
      <c r="C121" s="1303">
        <f t="shared" si="30"/>
        <v>45214</v>
      </c>
      <c r="D121" s="1303">
        <f t="shared" si="28"/>
        <v>45244</v>
      </c>
      <c r="E121" s="1302">
        <f t="shared" si="31"/>
        <v>31</v>
      </c>
      <c r="F121" s="1304">
        <f t="shared" si="34"/>
        <v>9.2499999999999999E-2</v>
      </c>
      <c r="G121" s="1302">
        <f t="shared" si="32"/>
        <v>1098190.4363013699</v>
      </c>
      <c r="H121" s="1302">
        <f t="shared" si="35"/>
        <v>7265700</v>
      </c>
      <c r="I121" s="864">
        <f t="shared" si="33"/>
        <v>132521400</v>
      </c>
      <c r="J121" s="1304">
        <v>1.17E-2</v>
      </c>
    </row>
    <row r="122" spans="1:10">
      <c r="A122" s="1301" t="s">
        <v>1052</v>
      </c>
      <c r="B122" s="1307">
        <f t="shared" si="29"/>
        <v>132521400</v>
      </c>
      <c r="C122" s="1303">
        <f t="shared" si="30"/>
        <v>45245</v>
      </c>
      <c r="D122" s="1303">
        <f t="shared" si="28"/>
        <v>45274</v>
      </c>
      <c r="E122" s="1302">
        <f t="shared" si="31"/>
        <v>30</v>
      </c>
      <c r="F122" s="1304">
        <f t="shared" si="34"/>
        <v>9.2499999999999999E-2</v>
      </c>
      <c r="G122" s="1302">
        <f t="shared" si="32"/>
        <v>1007525.7123287672</v>
      </c>
      <c r="H122" s="1302">
        <f t="shared" si="35"/>
        <v>7265700</v>
      </c>
      <c r="I122" s="864">
        <f t="shared" si="33"/>
        <v>125255700</v>
      </c>
      <c r="J122" s="1304">
        <v>1.17E-2</v>
      </c>
    </row>
    <row r="123" spans="1:10">
      <c r="A123" s="1301" t="s">
        <v>1052</v>
      </c>
      <c r="B123" s="1307">
        <f t="shared" si="29"/>
        <v>125255700</v>
      </c>
      <c r="C123" s="1303">
        <f t="shared" si="30"/>
        <v>45275</v>
      </c>
      <c r="D123" s="1303">
        <f t="shared" si="28"/>
        <v>45305</v>
      </c>
      <c r="E123" s="1302">
        <f t="shared" si="31"/>
        <v>31</v>
      </c>
      <c r="F123" s="1304">
        <f t="shared" si="34"/>
        <v>9.2499999999999999E-2</v>
      </c>
      <c r="G123" s="1302">
        <f t="shared" si="32"/>
        <v>984029.36917808221</v>
      </c>
      <c r="H123" s="1302">
        <f t="shared" si="35"/>
        <v>7265700</v>
      </c>
      <c r="I123" s="864">
        <f t="shared" si="33"/>
        <v>117990000</v>
      </c>
      <c r="J123" s="1304">
        <v>1.17E-2</v>
      </c>
    </row>
    <row r="124" spans="1:10">
      <c r="A124" s="1301" t="s">
        <v>1052</v>
      </c>
      <c r="B124" s="1307">
        <f t="shared" si="29"/>
        <v>117990000</v>
      </c>
      <c r="C124" s="1303">
        <f t="shared" si="30"/>
        <v>45306</v>
      </c>
      <c r="D124" s="1303">
        <f t="shared" si="28"/>
        <v>45336</v>
      </c>
      <c r="E124" s="1302">
        <f t="shared" si="31"/>
        <v>31</v>
      </c>
      <c r="F124" s="1304">
        <f t="shared" si="34"/>
        <v>9.2499999999999999E-2</v>
      </c>
      <c r="G124" s="1302">
        <f t="shared" si="32"/>
        <v>926948.8356164383</v>
      </c>
      <c r="H124" s="1302">
        <f t="shared" si="35"/>
        <v>7265700</v>
      </c>
      <c r="I124" s="864">
        <f t="shared" si="33"/>
        <v>110724300</v>
      </c>
      <c r="J124" s="1304">
        <v>1.17E-2</v>
      </c>
    </row>
    <row r="125" spans="1:10">
      <c r="A125" s="1301" t="s">
        <v>1052</v>
      </c>
      <c r="B125" s="1307">
        <f t="shared" si="29"/>
        <v>110724300</v>
      </c>
      <c r="C125" s="1303">
        <f t="shared" si="30"/>
        <v>45337</v>
      </c>
      <c r="D125" s="1303">
        <f t="shared" si="28"/>
        <v>45365</v>
      </c>
      <c r="E125" s="1302">
        <f t="shared" si="31"/>
        <v>29</v>
      </c>
      <c r="F125" s="1304">
        <f t="shared" si="34"/>
        <v>9.2499999999999999E-2</v>
      </c>
      <c r="G125" s="1302">
        <f t="shared" si="32"/>
        <v>813747.76643835614</v>
      </c>
      <c r="H125" s="1302">
        <f t="shared" si="35"/>
        <v>7265700</v>
      </c>
      <c r="I125" s="864">
        <f t="shared" si="33"/>
        <v>103458600</v>
      </c>
      <c r="J125" s="1304">
        <v>1.17E-2</v>
      </c>
    </row>
    <row r="126" spans="1:10">
      <c r="A126" s="1301" t="s">
        <v>1053</v>
      </c>
      <c r="B126" s="1307">
        <f t="shared" si="29"/>
        <v>103458600</v>
      </c>
      <c r="C126" s="1303">
        <f t="shared" si="30"/>
        <v>45366</v>
      </c>
      <c r="D126" s="1303">
        <f t="shared" si="28"/>
        <v>45396</v>
      </c>
      <c r="E126" s="1302">
        <f t="shared" si="31"/>
        <v>31</v>
      </c>
      <c r="F126" s="1304">
        <f t="shared" si="34"/>
        <v>9.2499999999999999E-2</v>
      </c>
      <c r="G126" s="1302">
        <f t="shared" si="32"/>
        <v>812787.76849315071</v>
      </c>
      <c r="H126" s="1302">
        <f t="shared" si="35"/>
        <v>7265700</v>
      </c>
      <c r="I126" s="864">
        <f t="shared" si="33"/>
        <v>96192900</v>
      </c>
      <c r="J126" s="1304">
        <v>1.17E-2</v>
      </c>
    </row>
    <row r="127" spans="1:10">
      <c r="A127" s="1301" t="s">
        <v>1053</v>
      </c>
      <c r="B127" s="1307">
        <f t="shared" si="29"/>
        <v>96192900</v>
      </c>
      <c r="C127" s="1303">
        <f t="shared" si="30"/>
        <v>45397</v>
      </c>
      <c r="D127" s="1303">
        <f t="shared" si="28"/>
        <v>45426</v>
      </c>
      <c r="E127" s="1302">
        <f t="shared" si="31"/>
        <v>30</v>
      </c>
      <c r="F127" s="1304">
        <f t="shared" si="34"/>
        <v>9.2499999999999999E-2</v>
      </c>
      <c r="G127" s="1302">
        <f t="shared" si="32"/>
        <v>731329.58219178079</v>
      </c>
      <c r="H127" s="1302">
        <f t="shared" si="35"/>
        <v>7265700</v>
      </c>
      <c r="I127" s="864">
        <f t="shared" si="33"/>
        <v>88927200</v>
      </c>
      <c r="J127" s="1304">
        <v>1.17E-2</v>
      </c>
    </row>
    <row r="128" spans="1:10">
      <c r="A128" s="1301" t="s">
        <v>1053</v>
      </c>
      <c r="B128" s="1307">
        <f t="shared" si="29"/>
        <v>88927200</v>
      </c>
      <c r="C128" s="1303">
        <f t="shared" si="30"/>
        <v>45427</v>
      </c>
      <c r="D128" s="1303">
        <f t="shared" si="28"/>
        <v>45457</v>
      </c>
      <c r="E128" s="1302">
        <f t="shared" si="31"/>
        <v>31</v>
      </c>
      <c r="F128" s="1304">
        <f t="shared" si="34"/>
        <v>9.2499999999999999E-2</v>
      </c>
      <c r="G128" s="1302">
        <f t="shared" si="32"/>
        <v>698626.701369863</v>
      </c>
      <c r="H128" s="1302">
        <f t="shared" si="35"/>
        <v>7514100</v>
      </c>
      <c r="I128" s="864">
        <f t="shared" si="33"/>
        <v>81413100</v>
      </c>
      <c r="J128" s="1304">
        <v>1.21E-2</v>
      </c>
    </row>
    <row r="129" spans="1:10">
      <c r="A129" s="1301" t="s">
        <v>1053</v>
      </c>
      <c r="B129" s="1307">
        <f t="shared" si="29"/>
        <v>81413100</v>
      </c>
      <c r="C129" s="1303">
        <f t="shared" si="30"/>
        <v>45458</v>
      </c>
      <c r="D129" s="1303">
        <f t="shared" si="28"/>
        <v>45487</v>
      </c>
      <c r="E129" s="1302">
        <f t="shared" si="31"/>
        <v>30</v>
      </c>
      <c r="F129" s="1304">
        <f t="shared" si="34"/>
        <v>9.2499999999999999E-2</v>
      </c>
      <c r="G129" s="1302">
        <f t="shared" si="32"/>
        <v>618962.60958904109</v>
      </c>
      <c r="H129" s="1302">
        <f t="shared" si="35"/>
        <v>7514100</v>
      </c>
      <c r="I129" s="864">
        <f t="shared" si="33"/>
        <v>73899000</v>
      </c>
      <c r="J129" s="1304">
        <v>1.21E-2</v>
      </c>
    </row>
    <row r="130" spans="1:10">
      <c r="A130" s="1301" t="s">
        <v>1053</v>
      </c>
      <c r="B130" s="1307">
        <f t="shared" si="29"/>
        <v>73899000</v>
      </c>
      <c r="C130" s="1303">
        <f t="shared" si="30"/>
        <v>45488</v>
      </c>
      <c r="D130" s="1303">
        <f t="shared" si="28"/>
        <v>45518</v>
      </c>
      <c r="E130" s="1302">
        <f t="shared" si="31"/>
        <v>31</v>
      </c>
      <c r="F130" s="1304">
        <f t="shared" si="34"/>
        <v>9.2499999999999999E-2</v>
      </c>
      <c r="G130" s="1302">
        <f t="shared" si="32"/>
        <v>580562.69178082189</v>
      </c>
      <c r="H130" s="1302">
        <f t="shared" si="35"/>
        <v>7514100</v>
      </c>
      <c r="I130" s="864">
        <f t="shared" si="33"/>
        <v>66384900</v>
      </c>
      <c r="J130" s="1304">
        <v>1.21E-2</v>
      </c>
    </row>
    <row r="131" spans="1:10">
      <c r="A131" s="1301" t="s">
        <v>1053</v>
      </c>
      <c r="B131" s="1307">
        <f t="shared" si="29"/>
        <v>66384900</v>
      </c>
      <c r="C131" s="1303">
        <f t="shared" si="30"/>
        <v>45519</v>
      </c>
      <c r="D131" s="1303">
        <f t="shared" si="28"/>
        <v>45549</v>
      </c>
      <c r="E131" s="1302">
        <f t="shared" si="31"/>
        <v>31</v>
      </c>
      <c r="F131" s="1304">
        <f t="shared" si="34"/>
        <v>9.2499999999999999E-2</v>
      </c>
      <c r="G131" s="1302">
        <f t="shared" si="32"/>
        <v>521530.68698630139</v>
      </c>
      <c r="H131" s="1302">
        <f t="shared" si="35"/>
        <v>7514100</v>
      </c>
      <c r="I131" s="864">
        <f t="shared" si="33"/>
        <v>58870800</v>
      </c>
      <c r="J131" s="1304">
        <v>1.21E-2</v>
      </c>
    </row>
    <row r="132" spans="1:10">
      <c r="A132" s="1301" t="s">
        <v>1053</v>
      </c>
      <c r="B132" s="1307">
        <f t="shared" si="29"/>
        <v>58870800</v>
      </c>
      <c r="C132" s="1303">
        <f t="shared" si="30"/>
        <v>45550</v>
      </c>
      <c r="D132" s="1303">
        <f t="shared" si="28"/>
        <v>45579</v>
      </c>
      <c r="E132" s="1302">
        <f t="shared" si="31"/>
        <v>30</v>
      </c>
      <c r="F132" s="1304">
        <f t="shared" si="34"/>
        <v>9.2499999999999999E-2</v>
      </c>
      <c r="G132" s="1302">
        <f t="shared" si="32"/>
        <v>447579.36986301368</v>
      </c>
      <c r="H132" s="1302">
        <f t="shared" si="35"/>
        <v>7514100</v>
      </c>
      <c r="I132" s="864">
        <f t="shared" si="33"/>
        <v>51356700</v>
      </c>
      <c r="J132" s="1304">
        <v>1.21E-2</v>
      </c>
    </row>
    <row r="133" spans="1:10">
      <c r="A133" s="1301" t="s">
        <v>1053</v>
      </c>
      <c r="B133" s="1307">
        <f t="shared" si="29"/>
        <v>51356700</v>
      </c>
      <c r="C133" s="1303">
        <f t="shared" si="30"/>
        <v>45580</v>
      </c>
      <c r="D133" s="1303">
        <f t="shared" si="28"/>
        <v>45610</v>
      </c>
      <c r="E133" s="1302">
        <f t="shared" si="31"/>
        <v>31</v>
      </c>
      <c r="F133" s="1304">
        <f t="shared" si="34"/>
        <v>9.2499999999999999E-2</v>
      </c>
      <c r="G133" s="1302">
        <f t="shared" si="32"/>
        <v>403466.67739726027</v>
      </c>
      <c r="H133" s="1302">
        <f t="shared" si="35"/>
        <v>7514100</v>
      </c>
      <c r="I133" s="864">
        <f t="shared" si="33"/>
        <v>43842600</v>
      </c>
      <c r="J133" s="1304">
        <v>1.21E-2</v>
      </c>
    </row>
    <row r="134" spans="1:10">
      <c r="A134" s="1301" t="s">
        <v>1053</v>
      </c>
      <c r="B134" s="1307">
        <f t="shared" si="29"/>
        <v>43842600</v>
      </c>
      <c r="C134" s="1303">
        <f t="shared" si="30"/>
        <v>45611</v>
      </c>
      <c r="D134" s="1303">
        <f t="shared" si="28"/>
        <v>45640</v>
      </c>
      <c r="E134" s="1302">
        <f t="shared" si="31"/>
        <v>30</v>
      </c>
      <c r="F134" s="1304">
        <f t="shared" si="34"/>
        <v>9.2499999999999999E-2</v>
      </c>
      <c r="G134" s="1302">
        <f t="shared" si="32"/>
        <v>333323.87671232875</v>
      </c>
      <c r="H134" s="1302">
        <f t="shared" si="35"/>
        <v>7514100</v>
      </c>
      <c r="I134" s="864">
        <f t="shared" si="33"/>
        <v>36328500</v>
      </c>
      <c r="J134" s="1304">
        <v>1.21E-2</v>
      </c>
    </row>
    <row r="135" spans="1:10">
      <c r="A135" s="1301" t="s">
        <v>1053</v>
      </c>
      <c r="B135" s="1307">
        <f t="shared" si="29"/>
        <v>36328500</v>
      </c>
      <c r="C135" s="1303">
        <f t="shared" si="30"/>
        <v>45641</v>
      </c>
      <c r="D135" s="1303">
        <f t="shared" ref="D135:D139" si="36">+EDATE(D134,1)</f>
        <v>45671</v>
      </c>
      <c r="E135" s="1302">
        <f t="shared" si="31"/>
        <v>31</v>
      </c>
      <c r="F135" s="1304">
        <f t="shared" si="34"/>
        <v>9.2499999999999999E-2</v>
      </c>
      <c r="G135" s="1302">
        <f t="shared" si="32"/>
        <v>285402.66780821915</v>
      </c>
      <c r="H135" s="1302">
        <f t="shared" si="35"/>
        <v>7514100</v>
      </c>
      <c r="I135" s="864">
        <f t="shared" si="33"/>
        <v>28814400</v>
      </c>
      <c r="J135" s="1304">
        <v>1.21E-2</v>
      </c>
    </row>
    <row r="136" spans="1:10">
      <c r="A136" s="1301" t="s">
        <v>1053</v>
      </c>
      <c r="B136" s="1307">
        <f t="shared" si="29"/>
        <v>28814400</v>
      </c>
      <c r="C136" s="1303">
        <f t="shared" si="30"/>
        <v>45672</v>
      </c>
      <c r="D136" s="1303">
        <f t="shared" si="36"/>
        <v>45702</v>
      </c>
      <c r="E136" s="1302">
        <f t="shared" si="31"/>
        <v>31</v>
      </c>
      <c r="F136" s="1304">
        <f t="shared" si="34"/>
        <v>9.2499999999999999E-2</v>
      </c>
      <c r="G136" s="1302">
        <f t="shared" si="32"/>
        <v>226370.66301369862</v>
      </c>
      <c r="H136" s="1302">
        <f t="shared" si="35"/>
        <v>7514100</v>
      </c>
      <c r="I136" s="864">
        <f t="shared" si="33"/>
        <v>21300300</v>
      </c>
      <c r="J136" s="1304">
        <v>1.21E-2</v>
      </c>
    </row>
    <row r="137" spans="1:10">
      <c r="A137" s="1301" t="s">
        <v>1053</v>
      </c>
      <c r="B137" s="1307">
        <f t="shared" si="29"/>
        <v>21300300</v>
      </c>
      <c r="C137" s="1303">
        <f t="shared" si="30"/>
        <v>45703</v>
      </c>
      <c r="D137" s="1303">
        <f t="shared" si="36"/>
        <v>45730</v>
      </c>
      <c r="E137" s="1302">
        <f t="shared" si="31"/>
        <v>28</v>
      </c>
      <c r="F137" s="1304">
        <f t="shared" si="34"/>
        <v>9.2499999999999999E-2</v>
      </c>
      <c r="G137" s="1302">
        <f t="shared" si="32"/>
        <v>151144.59452054795</v>
      </c>
      <c r="H137" s="1302">
        <f t="shared" si="35"/>
        <v>7514100</v>
      </c>
      <c r="I137" s="864">
        <f t="shared" si="33"/>
        <v>13786200</v>
      </c>
      <c r="J137" s="1304">
        <v>1.21E-2</v>
      </c>
    </row>
    <row r="138" spans="1:10">
      <c r="A138" s="1301" t="s">
        <v>1053</v>
      </c>
      <c r="B138" s="1307">
        <f t="shared" si="29"/>
        <v>13786200</v>
      </c>
      <c r="C138" s="1303">
        <f t="shared" si="30"/>
        <v>45731</v>
      </c>
      <c r="D138" s="1303">
        <f t="shared" si="36"/>
        <v>45761</v>
      </c>
      <c r="E138" s="1302">
        <f t="shared" si="31"/>
        <v>31</v>
      </c>
      <c r="F138" s="1304">
        <f t="shared" si="34"/>
        <v>9.2499999999999999E-2</v>
      </c>
      <c r="G138" s="1302">
        <f t="shared" si="32"/>
        <v>108306.65342465753</v>
      </c>
      <c r="H138" s="1302">
        <f t="shared" si="35"/>
        <v>7514100</v>
      </c>
      <c r="I138" s="864">
        <f t="shared" si="33"/>
        <v>6272100</v>
      </c>
      <c r="J138" s="1304">
        <v>1.21E-2</v>
      </c>
    </row>
    <row r="139" spans="1:10">
      <c r="A139" s="1301" t="s">
        <v>1054</v>
      </c>
      <c r="B139" s="1307">
        <f t="shared" si="29"/>
        <v>6272100</v>
      </c>
      <c r="C139" s="1303">
        <f t="shared" si="30"/>
        <v>45762</v>
      </c>
      <c r="D139" s="1303">
        <f t="shared" si="36"/>
        <v>45791</v>
      </c>
      <c r="E139" s="1302">
        <f t="shared" si="31"/>
        <v>30</v>
      </c>
      <c r="F139" s="1304">
        <f t="shared" si="34"/>
        <v>9.2499999999999999E-2</v>
      </c>
      <c r="G139" s="1302">
        <f t="shared" si="32"/>
        <v>47685.143835616436</v>
      </c>
      <c r="H139" s="1302">
        <f>+(MIN(B139,$B$5*J139))</f>
        <v>6272100</v>
      </c>
      <c r="I139" s="864">
        <f t="shared" si="33"/>
        <v>0</v>
      </c>
      <c r="J139" s="1304">
        <v>1.21E-2</v>
      </c>
    </row>
    <row r="140" spans="1:10">
      <c r="A140" s="1305"/>
      <c r="B140" s="1305"/>
      <c r="C140" s="1326"/>
      <c r="D140" s="1326"/>
      <c r="E140" s="1305"/>
      <c r="F140" s="1305"/>
      <c r="G140" s="1305"/>
      <c r="H140" s="1305"/>
      <c r="I140" s="1305"/>
      <c r="J140" s="1308">
        <f>SUM(J5:J139)</f>
        <v>1.0798000000000005</v>
      </c>
    </row>
  </sheetData>
  <pageMargins left="0.70866141732283472" right="0.70866141732283472" top="0.74803149606299213" bottom="0.74803149606299213" header="0.31496062992125984" footer="0.31496062992125984"/>
  <pageSetup scale="30" fitToHeight="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FF0000"/>
  </sheetPr>
  <dimension ref="A2:W667"/>
  <sheetViews>
    <sheetView topLeftCell="A218" zoomScale="80" zoomScaleNormal="80" workbookViewId="0">
      <selection activeCell="C17" sqref="C17"/>
    </sheetView>
  </sheetViews>
  <sheetFormatPr defaultColWidth="9.140625" defaultRowHeight="13.5"/>
  <cols>
    <col min="1" max="1" width="10.28515625" style="421" bestFit="1" customWidth="1"/>
    <col min="2" max="2" width="14.5703125" style="421" customWidth="1"/>
    <col min="3" max="3" width="12.42578125" style="421" bestFit="1" customWidth="1"/>
    <col min="4" max="4" width="14.85546875" style="421" bestFit="1" customWidth="1"/>
    <col min="5" max="5" width="11.85546875" style="421" bestFit="1" customWidth="1"/>
    <col min="6" max="6" width="12.140625" style="421" bestFit="1" customWidth="1"/>
    <col min="7" max="7" width="19.7109375" style="421" customWidth="1"/>
    <col min="8" max="14" width="14.7109375" style="421" bestFit="1" customWidth="1"/>
    <col min="15" max="15" width="16.85546875" style="421" bestFit="1" customWidth="1"/>
    <col min="16" max="16" width="17.42578125" style="421" bestFit="1" customWidth="1"/>
    <col min="17" max="17" width="16.42578125" style="421" customWidth="1"/>
    <col min="18" max="18" width="18.5703125" style="421" customWidth="1"/>
    <col min="19" max="19" width="12.42578125" style="421" bestFit="1" customWidth="1"/>
    <col min="20" max="20" width="17.140625" style="421" customWidth="1"/>
    <col min="21" max="23" width="16.85546875" style="421" customWidth="1"/>
    <col min="24" max="16384" width="9.140625" style="421"/>
  </cols>
  <sheetData>
    <row r="2" spans="1:17" ht="15">
      <c r="A2" s="461" t="s">
        <v>827</v>
      </c>
    </row>
    <row r="3" spans="1:17" s="488" customFormat="1" ht="15">
      <c r="A3" s="484"/>
    </row>
    <row r="4" spans="1:17" s="488" customFormat="1" ht="14.25" customHeight="1">
      <c r="A4" s="484"/>
    </row>
    <row r="5" spans="1:17" s="488" customFormat="1" ht="15">
      <c r="A5" s="485">
        <v>42826</v>
      </c>
    </row>
    <row r="6" spans="1:17" s="488" customFormat="1" ht="30">
      <c r="A6" s="476" t="s">
        <v>771</v>
      </c>
      <c r="B6" s="476" t="s">
        <v>772</v>
      </c>
      <c r="C6" s="476" t="s">
        <v>773</v>
      </c>
      <c r="D6" s="476" t="s">
        <v>828</v>
      </c>
      <c r="E6" s="476" t="s">
        <v>829</v>
      </c>
      <c r="F6" s="476" t="s">
        <v>830</v>
      </c>
      <c r="G6" s="476" t="s">
        <v>831</v>
      </c>
      <c r="H6" s="476" t="s">
        <v>832</v>
      </c>
      <c r="I6" s="476" t="s">
        <v>833</v>
      </c>
      <c r="J6" s="476" t="s">
        <v>834</v>
      </c>
      <c r="K6" s="476" t="s">
        <v>835</v>
      </c>
      <c r="L6" s="476" t="s">
        <v>836</v>
      </c>
      <c r="M6" s="476" t="s">
        <v>837</v>
      </c>
      <c r="N6" s="476" t="s">
        <v>838</v>
      </c>
      <c r="O6" s="476" t="s">
        <v>839</v>
      </c>
      <c r="P6" s="476" t="s">
        <v>840</v>
      </c>
      <c r="Q6" s="476" t="s">
        <v>841</v>
      </c>
    </row>
    <row r="7" spans="1:17" s="488" customFormat="1">
      <c r="A7" s="478" t="s">
        <v>776</v>
      </c>
      <c r="B7" s="479">
        <v>42</v>
      </c>
      <c r="C7" s="486">
        <v>6595537</v>
      </c>
      <c r="D7" s="486">
        <v>4360</v>
      </c>
      <c r="E7" s="486">
        <v>23993</v>
      </c>
      <c r="F7" s="486">
        <v>17004</v>
      </c>
      <c r="G7" s="486">
        <v>17681</v>
      </c>
      <c r="H7" s="486">
        <v>3359390</v>
      </c>
      <c r="I7" s="486">
        <v>27767210.769999996</v>
      </c>
      <c r="J7" s="486">
        <v>6265760.1499999994</v>
      </c>
      <c r="K7" s="486">
        <v>-478512.59999999992</v>
      </c>
      <c r="L7" s="486">
        <v>4748786.6400000006</v>
      </c>
      <c r="M7" s="486">
        <v>2941738.4100000006</v>
      </c>
      <c r="N7" s="486">
        <v>596236.52</v>
      </c>
      <c r="O7" s="486">
        <v>-1722453.14</v>
      </c>
      <c r="P7" s="486">
        <v>67442.399999999994</v>
      </c>
      <c r="Q7" s="486">
        <v>43545599.149999999</v>
      </c>
    </row>
    <row r="8" spans="1:17" s="488" customFormat="1">
      <c r="A8" s="478" t="s">
        <v>777</v>
      </c>
      <c r="B8" s="479">
        <v>27</v>
      </c>
      <c r="C8" s="486">
        <v>48169.4</v>
      </c>
      <c r="D8" s="486">
        <v>0</v>
      </c>
      <c r="E8" s="486">
        <v>0</v>
      </c>
      <c r="F8" s="486">
        <v>0</v>
      </c>
      <c r="G8" s="486">
        <v>0</v>
      </c>
      <c r="H8" s="486">
        <v>5130</v>
      </c>
      <c r="I8" s="486">
        <v>214353.88000000003</v>
      </c>
      <c r="J8" s="486">
        <v>45760.929999999993</v>
      </c>
      <c r="K8" s="486">
        <v>0</v>
      </c>
      <c r="L8" s="486">
        <v>34200.299999999996</v>
      </c>
      <c r="M8" s="486">
        <v>62883.500000000007</v>
      </c>
      <c r="N8" s="486">
        <v>4354.53</v>
      </c>
      <c r="O8" s="486">
        <v>0</v>
      </c>
      <c r="P8" s="486">
        <v>0</v>
      </c>
      <c r="Q8" s="486">
        <v>366683.13999999996</v>
      </c>
    </row>
    <row r="9" spans="1:17" s="488" customFormat="1">
      <c r="A9" s="478" t="s">
        <v>778</v>
      </c>
      <c r="B9" s="479">
        <v>8</v>
      </c>
      <c r="C9" s="486">
        <v>51265.299999999996</v>
      </c>
      <c r="D9" s="486">
        <v>0</v>
      </c>
      <c r="E9" s="486">
        <v>305</v>
      </c>
      <c r="F9" s="486">
        <v>191.04</v>
      </c>
      <c r="G9" s="486">
        <v>173</v>
      </c>
      <c r="H9" s="486">
        <v>32870</v>
      </c>
      <c r="I9" s="486">
        <v>228130.59000000003</v>
      </c>
      <c r="J9" s="486">
        <v>48702.034999999996</v>
      </c>
      <c r="K9" s="486">
        <v>-2848.9500000000003</v>
      </c>
      <c r="L9" s="486">
        <v>47164.08</v>
      </c>
      <c r="M9" s="486">
        <v>77520.569999999992</v>
      </c>
      <c r="N9" s="486">
        <v>4634.38</v>
      </c>
      <c r="O9" s="486">
        <v>-2694.06</v>
      </c>
      <c r="P9" s="486">
        <v>15127.800000000001</v>
      </c>
      <c r="Q9" s="486">
        <v>448606.44499999995</v>
      </c>
    </row>
    <row r="10" spans="1:17" s="488" customFormat="1">
      <c r="A10" s="478" t="s">
        <v>779</v>
      </c>
      <c r="B10" s="479">
        <v>1</v>
      </c>
      <c r="C10" s="486">
        <v>573</v>
      </c>
      <c r="D10" s="486">
        <v>0</v>
      </c>
      <c r="E10" s="486">
        <v>0</v>
      </c>
      <c r="F10" s="486">
        <v>0</v>
      </c>
      <c r="G10" s="486">
        <v>0</v>
      </c>
      <c r="H10" s="486">
        <v>190</v>
      </c>
      <c r="I10" s="486">
        <v>2549.85</v>
      </c>
      <c r="J10" s="486">
        <v>544.35</v>
      </c>
      <c r="K10" s="486">
        <v>0</v>
      </c>
      <c r="L10" s="486">
        <v>383.91</v>
      </c>
      <c r="M10" s="486">
        <v>0</v>
      </c>
      <c r="N10" s="486">
        <v>51.8</v>
      </c>
      <c r="O10" s="486">
        <v>0</v>
      </c>
      <c r="P10" s="486">
        <v>0</v>
      </c>
      <c r="Q10" s="486">
        <v>3719.91</v>
      </c>
    </row>
    <row r="11" spans="1:17" s="488" customFormat="1">
      <c r="A11" s="478" t="s">
        <v>780</v>
      </c>
      <c r="B11" s="479">
        <v>28</v>
      </c>
      <c r="C11" s="486">
        <v>592204</v>
      </c>
      <c r="D11" s="486">
        <v>724</v>
      </c>
      <c r="E11" s="486">
        <v>2637</v>
      </c>
      <c r="F11" s="486">
        <v>1561.8399999999997</v>
      </c>
      <c r="G11" s="486">
        <v>1211</v>
      </c>
      <c r="H11" s="486">
        <v>181650</v>
      </c>
      <c r="I11" s="486">
        <v>2635307.7999999993</v>
      </c>
      <c r="J11" s="486">
        <v>562593.80000000005</v>
      </c>
      <c r="K11" s="486">
        <v>-43121.880000000012</v>
      </c>
      <c r="L11" s="486">
        <v>426386.88000000006</v>
      </c>
      <c r="M11" s="486">
        <v>306059.49000000005</v>
      </c>
      <c r="N11" s="486">
        <v>53535.26</v>
      </c>
      <c r="O11" s="486">
        <v>-226830.46000000005</v>
      </c>
      <c r="P11" s="486">
        <v>11826</v>
      </c>
      <c r="Q11" s="486">
        <v>3907406.89</v>
      </c>
    </row>
    <row r="12" spans="1:17" s="488" customFormat="1" ht="15">
      <c r="A12" s="481"/>
      <c r="B12" s="482">
        <f>SUM(B7:B11)</f>
        <v>106</v>
      </c>
      <c r="C12" s="487">
        <f>SUM(C7:C11)</f>
        <v>7287748.7000000002</v>
      </c>
      <c r="D12" s="487">
        <f>SUM(D7:D11)</f>
        <v>5084</v>
      </c>
      <c r="E12" s="487">
        <f t="shared" ref="E12:Q12" si="0">SUM(E7:E11)</f>
        <v>26935</v>
      </c>
      <c r="F12" s="487">
        <f t="shared" si="0"/>
        <v>18756.88</v>
      </c>
      <c r="G12" s="487">
        <f t="shared" si="0"/>
        <v>19065</v>
      </c>
      <c r="H12" s="487">
        <f t="shared" si="0"/>
        <v>3579230</v>
      </c>
      <c r="I12" s="487">
        <f t="shared" si="0"/>
        <v>30847552.889999997</v>
      </c>
      <c r="J12" s="487">
        <f t="shared" si="0"/>
        <v>6923361.2649999987</v>
      </c>
      <c r="K12" s="487">
        <f t="shared" si="0"/>
        <v>-524483.42999999993</v>
      </c>
      <c r="L12" s="487">
        <f t="shared" si="0"/>
        <v>5256921.8100000005</v>
      </c>
      <c r="M12" s="487">
        <f t="shared" si="0"/>
        <v>3388201.9700000007</v>
      </c>
      <c r="N12" s="487">
        <f t="shared" si="0"/>
        <v>658812.49000000011</v>
      </c>
      <c r="O12" s="487">
        <f t="shared" si="0"/>
        <v>-1951977.66</v>
      </c>
      <c r="P12" s="487">
        <f t="shared" si="0"/>
        <v>94396.2</v>
      </c>
      <c r="Q12" s="487">
        <f t="shared" si="0"/>
        <v>48272015.534999996</v>
      </c>
    </row>
    <row r="13" spans="1:17" s="488" customFormat="1" ht="15">
      <c r="A13" s="485">
        <v>42856</v>
      </c>
    </row>
    <row r="14" spans="1:17" ht="30">
      <c r="A14" s="476" t="s">
        <v>771</v>
      </c>
      <c r="B14" s="476" t="s">
        <v>772</v>
      </c>
      <c r="C14" s="476" t="s">
        <v>773</v>
      </c>
      <c r="D14" s="476" t="s">
        <v>828</v>
      </c>
      <c r="E14" s="476" t="s">
        <v>829</v>
      </c>
      <c r="F14" s="476" t="s">
        <v>830</v>
      </c>
      <c r="G14" s="476" t="s">
        <v>831</v>
      </c>
      <c r="H14" s="476" t="s">
        <v>832</v>
      </c>
      <c r="I14" s="476" t="s">
        <v>833</v>
      </c>
      <c r="J14" s="476" t="s">
        <v>834</v>
      </c>
      <c r="K14" s="476" t="s">
        <v>835</v>
      </c>
      <c r="L14" s="476" t="s">
        <v>836</v>
      </c>
      <c r="M14" s="476" t="s">
        <v>837</v>
      </c>
      <c r="N14" s="476" t="s">
        <v>838</v>
      </c>
      <c r="O14" s="476" t="s">
        <v>839</v>
      </c>
      <c r="P14" s="476" t="s">
        <v>840</v>
      </c>
      <c r="Q14" s="476" t="s">
        <v>841</v>
      </c>
    </row>
    <row r="15" spans="1:17">
      <c r="A15" s="478" t="s">
        <v>776</v>
      </c>
      <c r="B15" s="479">
        <v>42</v>
      </c>
      <c r="C15" s="486">
        <v>7206475</v>
      </c>
      <c r="D15" s="486">
        <v>0</v>
      </c>
      <c r="E15" s="486">
        <v>23993</v>
      </c>
      <c r="F15" s="486">
        <v>16769.239999999994</v>
      </c>
      <c r="G15" s="486">
        <v>17512</v>
      </c>
      <c r="H15" s="486">
        <v>3327280</v>
      </c>
      <c r="I15" s="486">
        <v>30339259.750000004</v>
      </c>
      <c r="J15" s="486">
        <v>6846151.25</v>
      </c>
      <c r="K15" s="486">
        <v>-237451.45999999996</v>
      </c>
      <c r="L15" s="486">
        <v>-1080971.25</v>
      </c>
      <c r="M15" s="486">
        <v>2764270.4700000007</v>
      </c>
      <c r="N15" s="486">
        <v>651465.32999999973</v>
      </c>
      <c r="O15" s="486">
        <v>-1816815.3499999994</v>
      </c>
      <c r="P15" s="486">
        <v>48096.6</v>
      </c>
      <c r="Q15" s="486">
        <v>40841285.340000004</v>
      </c>
    </row>
    <row r="16" spans="1:17">
      <c r="A16" s="478" t="s">
        <v>777</v>
      </c>
      <c r="B16" s="479">
        <v>27</v>
      </c>
      <c r="C16" s="486">
        <v>51277.8</v>
      </c>
      <c r="D16" s="486">
        <v>0</v>
      </c>
      <c r="E16" s="486">
        <v>0</v>
      </c>
      <c r="F16" s="486">
        <v>0</v>
      </c>
      <c r="G16" s="486">
        <v>0</v>
      </c>
      <c r="H16" s="486">
        <v>5130</v>
      </c>
      <c r="I16" s="486">
        <v>228186.26999999996</v>
      </c>
      <c r="J16" s="486">
        <v>48713.909999999989</v>
      </c>
      <c r="K16" s="486">
        <v>0</v>
      </c>
      <c r="L16" s="486">
        <v>-7178.9199999999992</v>
      </c>
      <c r="M16" s="486">
        <v>57718.799999999988</v>
      </c>
      <c r="N16" s="486">
        <v>4635.55</v>
      </c>
      <c r="O16" s="486">
        <v>0</v>
      </c>
      <c r="P16" s="486">
        <v>0</v>
      </c>
      <c r="Q16" s="486">
        <v>337205.61000000004</v>
      </c>
    </row>
    <row r="17" spans="1:17">
      <c r="A17" s="478" t="s">
        <v>778</v>
      </c>
      <c r="B17" s="479">
        <v>8</v>
      </c>
      <c r="C17" s="486">
        <v>60228.2</v>
      </c>
      <c r="D17" s="486">
        <v>0</v>
      </c>
      <c r="E17" s="486">
        <v>305</v>
      </c>
      <c r="F17" s="486">
        <v>187.34</v>
      </c>
      <c r="G17" s="486">
        <v>168</v>
      </c>
      <c r="H17" s="486">
        <v>31920</v>
      </c>
      <c r="I17" s="486">
        <v>268015.5</v>
      </c>
      <c r="J17" s="486">
        <v>57216.789999999994</v>
      </c>
      <c r="K17" s="486">
        <v>-282.88999999999987</v>
      </c>
      <c r="L17" s="486">
        <v>-11443.359999999999</v>
      </c>
      <c r="M17" s="486">
        <v>74494.560000000012</v>
      </c>
      <c r="N17" s="486">
        <v>5444.62</v>
      </c>
      <c r="O17" s="486">
        <v>-2221.19</v>
      </c>
      <c r="P17" s="486">
        <v>13110</v>
      </c>
      <c r="Q17" s="486">
        <v>436254.03</v>
      </c>
    </row>
    <row r="18" spans="1:17">
      <c r="A18" s="478" t="s">
        <v>779</v>
      </c>
      <c r="B18" s="479">
        <v>1</v>
      </c>
      <c r="C18" s="486">
        <v>590.9</v>
      </c>
      <c r="D18" s="486">
        <v>0</v>
      </c>
      <c r="E18" s="486">
        <v>0</v>
      </c>
      <c r="F18" s="486">
        <v>0</v>
      </c>
      <c r="G18" s="486">
        <v>0</v>
      </c>
      <c r="H18" s="486">
        <v>190</v>
      </c>
      <c r="I18" s="486">
        <v>2629.51</v>
      </c>
      <c r="J18" s="486">
        <v>561.3549999999999</v>
      </c>
      <c r="K18" s="486">
        <v>0</v>
      </c>
      <c r="L18" s="486">
        <v>-82.73</v>
      </c>
      <c r="M18" s="486">
        <v>0</v>
      </c>
      <c r="N18" s="486">
        <v>53.42</v>
      </c>
      <c r="O18" s="486">
        <v>0</v>
      </c>
      <c r="P18" s="486">
        <v>0</v>
      </c>
      <c r="Q18" s="486">
        <v>3351.5550000000003</v>
      </c>
    </row>
    <row r="19" spans="1:17">
      <c r="A19" s="478" t="s">
        <v>780</v>
      </c>
      <c r="B19" s="479">
        <v>28</v>
      </c>
      <c r="C19" s="486">
        <v>632482</v>
      </c>
      <c r="D19" s="486">
        <v>0</v>
      </c>
      <c r="E19" s="486">
        <v>2637</v>
      </c>
      <c r="F19" s="486">
        <v>1584.7200000000005</v>
      </c>
      <c r="G19" s="486">
        <v>1221</v>
      </c>
      <c r="H19" s="486">
        <v>183150</v>
      </c>
      <c r="I19" s="486">
        <v>2814544.9000000004</v>
      </c>
      <c r="J19" s="486">
        <v>600857.89999999991</v>
      </c>
      <c r="K19" s="486">
        <v>-28001.320000000007</v>
      </c>
      <c r="L19" s="486">
        <v>-94872.299999999974</v>
      </c>
      <c r="M19" s="486">
        <v>285943.67999999993</v>
      </c>
      <c r="N19" s="486">
        <v>57176.359999999979</v>
      </c>
      <c r="O19" s="486">
        <v>-200788.19</v>
      </c>
      <c r="P19" s="486">
        <v>11520</v>
      </c>
      <c r="Q19" s="486">
        <v>3629531.0299999993</v>
      </c>
    </row>
    <row r="20" spans="1:17" ht="15">
      <c r="A20" s="481"/>
      <c r="B20" s="482">
        <f>SUM(B15:B19)</f>
        <v>106</v>
      </c>
      <c r="C20" s="487">
        <f>SUM(C15:C19)</f>
        <v>7951053.9000000004</v>
      </c>
      <c r="D20" s="487">
        <f>SUM(D15:D19)</f>
        <v>0</v>
      </c>
      <c r="E20" s="487">
        <f t="shared" ref="E20:Q20" si="1">SUM(E15:E19)</f>
        <v>26935</v>
      </c>
      <c r="F20" s="487">
        <f t="shared" si="1"/>
        <v>18541.299999999996</v>
      </c>
      <c r="G20" s="487">
        <f t="shared" si="1"/>
        <v>18901</v>
      </c>
      <c r="H20" s="487">
        <f t="shared" si="1"/>
        <v>3547670</v>
      </c>
      <c r="I20" s="487">
        <f t="shared" si="1"/>
        <v>33652635.930000007</v>
      </c>
      <c r="J20" s="487">
        <f t="shared" si="1"/>
        <v>7553501.2050000001</v>
      </c>
      <c r="K20" s="487">
        <f t="shared" si="1"/>
        <v>-265735.67</v>
      </c>
      <c r="L20" s="487">
        <f t="shared" si="1"/>
        <v>-1194548.56</v>
      </c>
      <c r="M20" s="487">
        <f t="shared" si="1"/>
        <v>3182427.5100000007</v>
      </c>
      <c r="N20" s="487">
        <f t="shared" si="1"/>
        <v>718775.2799999998</v>
      </c>
      <c r="O20" s="487">
        <f t="shared" si="1"/>
        <v>-2019824.7299999993</v>
      </c>
      <c r="P20" s="487">
        <f t="shared" si="1"/>
        <v>72726.600000000006</v>
      </c>
      <c r="Q20" s="487">
        <f t="shared" si="1"/>
        <v>45247627.565000005</v>
      </c>
    </row>
    <row r="21" spans="1:17" ht="15">
      <c r="A21" s="485">
        <v>42887</v>
      </c>
    </row>
    <row r="22" spans="1:17" ht="30">
      <c r="A22" s="476" t="s">
        <v>771</v>
      </c>
      <c r="B22" s="476" t="s">
        <v>772</v>
      </c>
      <c r="C22" s="476" t="s">
        <v>773</v>
      </c>
      <c r="D22" s="476" t="s">
        <v>828</v>
      </c>
      <c r="E22" s="476" t="s">
        <v>829</v>
      </c>
      <c r="F22" s="476" t="s">
        <v>830</v>
      </c>
      <c r="G22" s="476" t="s">
        <v>831</v>
      </c>
      <c r="H22" s="476" t="s">
        <v>832</v>
      </c>
      <c r="I22" s="476" t="s">
        <v>833</v>
      </c>
      <c r="J22" s="476" t="s">
        <v>834</v>
      </c>
      <c r="K22" s="476" t="s">
        <v>835</v>
      </c>
      <c r="L22" s="476" t="s">
        <v>836</v>
      </c>
      <c r="M22" s="476" t="s">
        <v>837</v>
      </c>
      <c r="N22" s="476" t="s">
        <v>838</v>
      </c>
      <c r="O22" s="476" t="s">
        <v>839</v>
      </c>
      <c r="P22" s="476" t="s">
        <v>840</v>
      </c>
      <c r="Q22" s="476" t="s">
        <v>841</v>
      </c>
    </row>
    <row r="23" spans="1:17">
      <c r="A23" s="478" t="s">
        <v>776</v>
      </c>
      <c r="B23" s="479">
        <v>42</v>
      </c>
      <c r="C23" s="486">
        <v>6530940</v>
      </c>
      <c r="D23" s="486">
        <v>0</v>
      </c>
      <c r="E23" s="486">
        <v>23993</v>
      </c>
      <c r="F23" s="486">
        <v>16650.599999999995</v>
      </c>
      <c r="G23" s="486">
        <v>17468</v>
      </c>
      <c r="H23" s="486">
        <v>3318920</v>
      </c>
      <c r="I23" s="486">
        <v>27495257.399999991</v>
      </c>
      <c r="J23" s="486">
        <v>6204393.0000000009</v>
      </c>
      <c r="K23" s="486">
        <v>-516143.20000000007</v>
      </c>
      <c r="L23" s="486">
        <v>-783712.80000000016</v>
      </c>
      <c r="M23" s="486">
        <v>2452704.36</v>
      </c>
      <c r="N23" s="486">
        <v>590396.99</v>
      </c>
      <c r="O23" s="486">
        <v>-1551208.9</v>
      </c>
      <c r="P23" s="486">
        <v>34485</v>
      </c>
      <c r="Q23" s="486">
        <v>37245091.850000001</v>
      </c>
    </row>
    <row r="24" spans="1:17">
      <c r="A24" s="478" t="s">
        <v>777</v>
      </c>
      <c r="B24" s="479">
        <v>27</v>
      </c>
      <c r="C24" s="486">
        <v>46502.3</v>
      </c>
      <c r="D24" s="486">
        <v>0</v>
      </c>
      <c r="E24" s="486">
        <v>0</v>
      </c>
      <c r="F24" s="486">
        <v>0</v>
      </c>
      <c r="G24" s="486">
        <v>0</v>
      </c>
      <c r="H24" s="486">
        <v>5130</v>
      </c>
      <c r="I24" s="486">
        <v>206935.28999999998</v>
      </c>
      <c r="J24" s="486">
        <v>44177.184999999998</v>
      </c>
      <c r="K24" s="486">
        <v>0</v>
      </c>
      <c r="L24" s="486">
        <v>-5580.2800000000007</v>
      </c>
      <c r="M24" s="486">
        <v>52639.09</v>
      </c>
      <c r="N24" s="486">
        <v>4203.8100000000004</v>
      </c>
      <c r="O24" s="486">
        <v>0</v>
      </c>
      <c r="P24" s="486">
        <v>0</v>
      </c>
      <c r="Q24" s="486">
        <v>307505.09500000003</v>
      </c>
    </row>
    <row r="25" spans="1:17">
      <c r="A25" s="478" t="s">
        <v>778</v>
      </c>
      <c r="B25" s="479">
        <v>7</v>
      </c>
      <c r="C25" s="486">
        <v>28201</v>
      </c>
      <c r="D25" s="486">
        <v>0</v>
      </c>
      <c r="E25" s="486">
        <v>250</v>
      </c>
      <c r="F25" s="486">
        <v>120.18999999999998</v>
      </c>
      <c r="G25" s="486">
        <v>110</v>
      </c>
      <c r="H25" s="486">
        <v>20900</v>
      </c>
      <c r="I25" s="486">
        <v>125494.45</v>
      </c>
      <c r="J25" s="486">
        <v>26790.949999999997</v>
      </c>
      <c r="K25" s="486">
        <v>-162.87999999999997</v>
      </c>
      <c r="L25" s="486">
        <v>-4512.17</v>
      </c>
      <c r="M25" s="486">
        <v>35533.22</v>
      </c>
      <c r="N25" s="486">
        <v>2549.3700000000003</v>
      </c>
      <c r="O25" s="486">
        <v>180.96000000000004</v>
      </c>
      <c r="P25" s="486">
        <v>695.4</v>
      </c>
      <c r="Q25" s="486">
        <v>207469.30000000002</v>
      </c>
    </row>
    <row r="26" spans="1:17">
      <c r="A26" s="478" t="s">
        <v>779</v>
      </c>
      <c r="B26" s="479">
        <v>1</v>
      </c>
      <c r="C26" s="486">
        <v>613.4</v>
      </c>
      <c r="D26" s="486">
        <v>0</v>
      </c>
      <c r="E26" s="486">
        <v>0</v>
      </c>
      <c r="F26" s="486">
        <v>0</v>
      </c>
      <c r="G26" s="486">
        <v>0</v>
      </c>
      <c r="H26" s="486">
        <v>190</v>
      </c>
      <c r="I26" s="486">
        <v>2729.63</v>
      </c>
      <c r="J26" s="486">
        <v>582.7299999999999</v>
      </c>
      <c r="K26" s="486">
        <v>0</v>
      </c>
      <c r="L26" s="486">
        <v>-73.61</v>
      </c>
      <c r="M26" s="486">
        <v>0</v>
      </c>
      <c r="N26" s="486">
        <v>55.45</v>
      </c>
      <c r="O26" s="486">
        <v>0</v>
      </c>
      <c r="P26" s="486">
        <v>0</v>
      </c>
      <c r="Q26" s="486">
        <v>3484.2</v>
      </c>
    </row>
    <row r="27" spans="1:17">
      <c r="A27" s="478" t="s">
        <v>780</v>
      </c>
      <c r="B27" s="479">
        <v>30</v>
      </c>
      <c r="C27" s="486">
        <v>632600</v>
      </c>
      <c r="D27" s="486">
        <v>0</v>
      </c>
      <c r="E27" s="486">
        <v>2846</v>
      </c>
      <c r="F27" s="486">
        <v>1634.68</v>
      </c>
      <c r="G27" s="486">
        <v>1307</v>
      </c>
      <c r="H27" s="486">
        <v>196050</v>
      </c>
      <c r="I27" s="486">
        <v>2815070.0000000014</v>
      </c>
      <c r="J27" s="486">
        <v>600969.99999999988</v>
      </c>
      <c r="K27" s="486">
        <v>-52754.400000000001</v>
      </c>
      <c r="L27" s="486">
        <v>-82238.000000000015</v>
      </c>
      <c r="M27" s="486">
        <v>285467.58999999997</v>
      </c>
      <c r="N27" s="486">
        <v>57187.05000000001</v>
      </c>
      <c r="O27" s="486">
        <v>-200875.95000000004</v>
      </c>
      <c r="P27" s="486">
        <v>12672</v>
      </c>
      <c r="Q27" s="486">
        <v>3631548.29</v>
      </c>
    </row>
    <row r="28" spans="1:17" ht="15">
      <c r="A28" s="481"/>
      <c r="B28" s="482">
        <f>SUM(B23:B27)</f>
        <v>107</v>
      </c>
      <c r="C28" s="487">
        <f>SUM(C23:C27)</f>
        <v>7238856.7000000002</v>
      </c>
      <c r="D28" s="487">
        <f>SUM(D23:D27)</f>
        <v>0</v>
      </c>
      <c r="E28" s="487">
        <f t="shared" ref="E28:Q28" si="2">SUM(E23:E27)</f>
        <v>27089</v>
      </c>
      <c r="F28" s="487">
        <f t="shared" si="2"/>
        <v>18405.469999999994</v>
      </c>
      <c r="G28" s="487">
        <f t="shared" si="2"/>
        <v>18885</v>
      </c>
      <c r="H28" s="487">
        <f t="shared" si="2"/>
        <v>3541190</v>
      </c>
      <c r="I28" s="487">
        <f t="shared" si="2"/>
        <v>30645486.769999988</v>
      </c>
      <c r="J28" s="487">
        <f t="shared" si="2"/>
        <v>6876913.8650000012</v>
      </c>
      <c r="K28" s="487">
        <f t="shared" si="2"/>
        <v>-569060.4800000001</v>
      </c>
      <c r="L28" s="487">
        <f t="shared" si="2"/>
        <v>-876116.86000000022</v>
      </c>
      <c r="M28" s="487">
        <f t="shared" si="2"/>
        <v>2826344.26</v>
      </c>
      <c r="N28" s="487">
        <f t="shared" si="2"/>
        <v>654392.67000000004</v>
      </c>
      <c r="O28" s="487">
        <f t="shared" si="2"/>
        <v>-1751903.89</v>
      </c>
      <c r="P28" s="487">
        <f t="shared" si="2"/>
        <v>47852.4</v>
      </c>
      <c r="Q28" s="487">
        <f t="shared" si="2"/>
        <v>41395098.734999999</v>
      </c>
    </row>
    <row r="29" spans="1:17" ht="15">
      <c r="A29" s="484"/>
    </row>
    <row r="30" spans="1:17" ht="15">
      <c r="A30" s="485">
        <v>42917</v>
      </c>
    </row>
    <row r="31" spans="1:17" ht="30">
      <c r="A31" s="476" t="s">
        <v>771</v>
      </c>
      <c r="B31" s="476" t="s">
        <v>772</v>
      </c>
      <c r="C31" s="477" t="s">
        <v>773</v>
      </c>
      <c r="D31" s="477" t="s">
        <v>828</v>
      </c>
      <c r="E31" s="477" t="s">
        <v>829</v>
      </c>
      <c r="F31" s="477" t="s">
        <v>830</v>
      </c>
      <c r="G31" s="477" t="s">
        <v>831</v>
      </c>
      <c r="H31" s="477" t="s">
        <v>832</v>
      </c>
      <c r="I31" s="477" t="s">
        <v>833</v>
      </c>
      <c r="J31" s="477" t="s">
        <v>834</v>
      </c>
      <c r="K31" s="477" t="s">
        <v>835</v>
      </c>
      <c r="L31" s="477" t="s">
        <v>836</v>
      </c>
      <c r="M31" s="477" t="s">
        <v>837</v>
      </c>
      <c r="N31" s="477" t="s">
        <v>838</v>
      </c>
      <c r="O31" s="477" t="s">
        <v>839</v>
      </c>
      <c r="P31" s="477" t="s">
        <v>840</v>
      </c>
      <c r="Q31" s="477" t="s">
        <v>841</v>
      </c>
    </row>
    <row r="32" spans="1:17">
      <c r="A32" s="478" t="s">
        <v>776</v>
      </c>
      <c r="B32" s="479">
        <v>42</v>
      </c>
      <c r="C32" s="480">
        <v>6741162</v>
      </c>
      <c r="D32" s="480">
        <v>-5556</v>
      </c>
      <c r="E32" s="480">
        <v>23993</v>
      </c>
      <c r="F32" s="480">
        <v>15690.5</v>
      </c>
      <c r="G32" s="480">
        <v>16707</v>
      </c>
      <c r="H32" s="480">
        <v>3174330</v>
      </c>
      <c r="I32" s="480">
        <v>28380292.019999996</v>
      </c>
      <c r="J32" s="480">
        <v>6404103.9000000022</v>
      </c>
      <c r="K32" s="480">
        <v>-550080.4</v>
      </c>
      <c r="L32" s="480">
        <v>-404469.71999999991</v>
      </c>
      <c r="M32" s="480">
        <v>2576901.15</v>
      </c>
      <c r="N32" s="480">
        <v>609401.04000000015</v>
      </c>
      <c r="O32" s="480">
        <v>-1471479.84</v>
      </c>
      <c r="P32" s="480">
        <v>7980</v>
      </c>
      <c r="Q32" s="480">
        <v>38726978.150000006</v>
      </c>
    </row>
    <row r="33" spans="1:17">
      <c r="A33" s="478" t="s">
        <v>777</v>
      </c>
      <c r="B33" s="479">
        <v>30</v>
      </c>
      <c r="C33" s="480">
        <v>45982.400000000009</v>
      </c>
      <c r="D33" s="480">
        <v>0</v>
      </c>
      <c r="E33" s="480">
        <v>0</v>
      </c>
      <c r="F33" s="480">
        <v>0</v>
      </c>
      <c r="G33" s="480">
        <v>0</v>
      </c>
      <c r="H33" s="480">
        <v>5700</v>
      </c>
      <c r="I33" s="480">
        <v>204621.74999999997</v>
      </c>
      <c r="J33" s="480">
        <v>43683.279999999984</v>
      </c>
      <c r="K33" s="480">
        <v>0</v>
      </c>
      <c r="L33" s="480">
        <v>-2758.9599999999991</v>
      </c>
      <c r="M33" s="480">
        <v>52761.67</v>
      </c>
      <c r="N33" s="480">
        <v>4156.8200000000006</v>
      </c>
      <c r="O33" s="480">
        <v>0</v>
      </c>
      <c r="P33" s="480">
        <v>0</v>
      </c>
      <c r="Q33" s="480">
        <v>308164.56</v>
      </c>
    </row>
    <row r="34" spans="1:17">
      <c r="A34" s="478" t="s">
        <v>778</v>
      </c>
      <c r="B34" s="479">
        <v>9</v>
      </c>
      <c r="C34" s="480">
        <v>32780.400000000001</v>
      </c>
      <c r="D34" s="480">
        <v>0</v>
      </c>
      <c r="E34" s="480">
        <v>295</v>
      </c>
      <c r="F34" s="480">
        <v>120.64999999999999</v>
      </c>
      <c r="G34" s="480">
        <v>130</v>
      </c>
      <c r="H34" s="480">
        <v>24700</v>
      </c>
      <c r="I34" s="480">
        <v>145872.79000000004</v>
      </c>
      <c r="J34" s="480">
        <v>31141.379999999994</v>
      </c>
      <c r="K34" s="480">
        <v>-1831.2199999999998</v>
      </c>
      <c r="L34" s="480">
        <v>-2294.63</v>
      </c>
      <c r="M34" s="480">
        <v>41277.279999999999</v>
      </c>
      <c r="N34" s="480">
        <v>2963.35</v>
      </c>
      <c r="O34" s="480">
        <v>1998.2000000000003</v>
      </c>
      <c r="P34" s="480">
        <v>490.2</v>
      </c>
      <c r="Q34" s="480">
        <v>244317.35</v>
      </c>
    </row>
    <row r="35" spans="1:17">
      <c r="A35" s="478" t="s">
        <v>779</v>
      </c>
      <c r="B35" s="479">
        <v>1</v>
      </c>
      <c r="C35" s="480">
        <v>667.6</v>
      </c>
      <c r="D35" s="480">
        <v>0</v>
      </c>
      <c r="E35" s="480">
        <v>0</v>
      </c>
      <c r="F35" s="480">
        <v>0</v>
      </c>
      <c r="G35" s="480">
        <v>0</v>
      </c>
      <c r="H35" s="480">
        <v>190</v>
      </c>
      <c r="I35" s="480">
        <v>2970.82</v>
      </c>
      <c r="J35" s="480">
        <v>634.22</v>
      </c>
      <c r="K35" s="480">
        <v>0</v>
      </c>
      <c r="L35" s="480">
        <v>-40.06</v>
      </c>
      <c r="M35" s="480">
        <v>0</v>
      </c>
      <c r="N35" s="480">
        <v>60.35</v>
      </c>
      <c r="O35" s="480">
        <v>0</v>
      </c>
      <c r="P35" s="480">
        <v>0</v>
      </c>
      <c r="Q35" s="480">
        <v>3815.33</v>
      </c>
    </row>
    <row r="36" spans="1:17">
      <c r="A36" s="478" t="s">
        <v>780</v>
      </c>
      <c r="B36" s="479">
        <v>29</v>
      </c>
      <c r="C36" s="480">
        <v>622674.28</v>
      </c>
      <c r="D36" s="480">
        <v>-18759.72</v>
      </c>
      <c r="E36" s="480">
        <v>2786</v>
      </c>
      <c r="F36" s="480">
        <v>1553.6399999999999</v>
      </c>
      <c r="G36" s="480">
        <v>1267</v>
      </c>
      <c r="H36" s="480">
        <v>190050</v>
      </c>
      <c r="I36" s="480">
        <v>2770900.55</v>
      </c>
      <c r="J36" s="480">
        <v>591540.56599999999</v>
      </c>
      <c r="K36" s="480">
        <v>-62615.339999999989</v>
      </c>
      <c r="L36" s="480">
        <v>-37360.459999999992</v>
      </c>
      <c r="M36" s="480">
        <v>283757.92000000004</v>
      </c>
      <c r="N36" s="480">
        <v>56289.73000000001</v>
      </c>
      <c r="O36" s="480">
        <v>-203101.11</v>
      </c>
      <c r="P36" s="480">
        <v>7821</v>
      </c>
      <c r="Q36" s="480">
        <v>3597282.8560000006</v>
      </c>
    </row>
    <row r="37" spans="1:17" ht="15">
      <c r="A37" s="481"/>
      <c r="B37" s="482">
        <f>SUM(B32:B36)</f>
        <v>111</v>
      </c>
      <c r="C37" s="483">
        <f>SUM(C32:C36)</f>
        <v>7443266.6800000006</v>
      </c>
      <c r="D37" s="483">
        <f>SUM(D32:D36)</f>
        <v>-24315.72</v>
      </c>
      <c r="E37" s="483">
        <f t="shared" ref="E37:Q37" si="3">SUM(E32:E36)</f>
        <v>27074</v>
      </c>
      <c r="F37" s="483">
        <f t="shared" si="3"/>
        <v>17364.79</v>
      </c>
      <c r="G37" s="483">
        <f t="shared" si="3"/>
        <v>18104</v>
      </c>
      <c r="H37" s="483">
        <f t="shared" si="3"/>
        <v>3394970</v>
      </c>
      <c r="I37" s="483">
        <f t="shared" si="3"/>
        <v>31504657.929999996</v>
      </c>
      <c r="J37" s="483">
        <f t="shared" si="3"/>
        <v>7071103.3460000018</v>
      </c>
      <c r="K37" s="483">
        <f t="shared" si="3"/>
        <v>-614526.96</v>
      </c>
      <c r="L37" s="483">
        <f t="shared" si="3"/>
        <v>-446923.82999999996</v>
      </c>
      <c r="M37" s="483">
        <f t="shared" si="3"/>
        <v>2954698.0199999996</v>
      </c>
      <c r="N37" s="483">
        <f t="shared" si="3"/>
        <v>672871.29</v>
      </c>
      <c r="O37" s="483">
        <f t="shared" si="3"/>
        <v>-1672582.75</v>
      </c>
      <c r="P37" s="483">
        <f t="shared" si="3"/>
        <v>16291.2</v>
      </c>
      <c r="Q37" s="483">
        <f t="shared" si="3"/>
        <v>42880558.246000007</v>
      </c>
    </row>
    <row r="39" spans="1:17">
      <c r="A39" s="462">
        <v>42948</v>
      </c>
    </row>
    <row r="40" spans="1:17" ht="30">
      <c r="A40" s="476" t="s">
        <v>771</v>
      </c>
      <c r="B40" s="476" t="s">
        <v>772</v>
      </c>
      <c r="C40" s="477" t="s">
        <v>773</v>
      </c>
      <c r="D40" s="477" t="s">
        <v>828</v>
      </c>
      <c r="E40" s="477" t="s">
        <v>829</v>
      </c>
      <c r="F40" s="477" t="s">
        <v>830</v>
      </c>
      <c r="G40" s="477" t="s">
        <v>831</v>
      </c>
      <c r="H40" s="477" t="s">
        <v>832</v>
      </c>
      <c r="I40" s="477" t="s">
        <v>833</v>
      </c>
      <c r="J40" s="477" t="s">
        <v>834</v>
      </c>
      <c r="K40" s="477" t="s">
        <v>835</v>
      </c>
      <c r="L40" s="477" t="s">
        <v>836</v>
      </c>
      <c r="M40" s="477" t="s">
        <v>837</v>
      </c>
      <c r="N40" s="477" t="s">
        <v>838</v>
      </c>
      <c r="O40" s="477" t="s">
        <v>839</v>
      </c>
      <c r="P40" s="477" t="s">
        <v>840</v>
      </c>
      <c r="Q40" s="477" t="s">
        <v>841</v>
      </c>
    </row>
    <row r="41" spans="1:17">
      <c r="A41" s="478" t="s">
        <v>776</v>
      </c>
      <c r="B41" s="479">
        <v>43</v>
      </c>
      <c r="C41" s="480">
        <v>6356536.5999999996</v>
      </c>
      <c r="D41" s="480">
        <v>0</v>
      </c>
      <c r="E41" s="480">
        <v>24183</v>
      </c>
      <c r="F41" s="480">
        <v>15156.76</v>
      </c>
      <c r="G41" s="480">
        <v>16532</v>
      </c>
      <c r="H41" s="480">
        <v>3141080</v>
      </c>
      <c r="I41" s="480">
        <v>26761019.089999992</v>
      </c>
      <c r="J41" s="480">
        <v>6038709.7699999996</v>
      </c>
      <c r="K41" s="480">
        <v>-564602.20000000007</v>
      </c>
      <c r="L41" s="480">
        <v>-1144176.5899999999</v>
      </c>
      <c r="M41" s="480">
        <v>2376338.4900000007</v>
      </c>
      <c r="N41" s="480">
        <v>574630.94000000018</v>
      </c>
      <c r="O41" s="480">
        <v>-1578256.7200000004</v>
      </c>
      <c r="P41" s="480">
        <v>35910</v>
      </c>
      <c r="Q41" s="480">
        <v>35640652.779999994</v>
      </c>
    </row>
    <row r="42" spans="1:17">
      <c r="A42" s="478" t="s">
        <v>777</v>
      </c>
      <c r="B42" s="479">
        <v>32</v>
      </c>
      <c r="C42" s="480">
        <v>49305.200000000004</v>
      </c>
      <c r="D42" s="480">
        <v>0</v>
      </c>
      <c r="E42" s="480">
        <v>0</v>
      </c>
      <c r="F42" s="480">
        <v>0</v>
      </c>
      <c r="G42" s="480">
        <v>0</v>
      </c>
      <c r="H42" s="480">
        <v>6080</v>
      </c>
      <c r="I42" s="480">
        <v>219408.21</v>
      </c>
      <c r="J42" s="480">
        <v>46839.94</v>
      </c>
      <c r="K42" s="480">
        <v>0</v>
      </c>
      <c r="L42" s="480">
        <v>-8874.94</v>
      </c>
      <c r="M42" s="480">
        <v>55325.200000000004</v>
      </c>
      <c r="N42" s="480">
        <v>4457.1900000000014</v>
      </c>
      <c r="O42" s="480">
        <v>0</v>
      </c>
      <c r="P42" s="480">
        <v>0</v>
      </c>
      <c r="Q42" s="480">
        <v>323235.60000000003</v>
      </c>
    </row>
    <row r="43" spans="1:17">
      <c r="A43" s="478" t="s">
        <v>778</v>
      </c>
      <c r="B43" s="479">
        <v>9</v>
      </c>
      <c r="C43" s="480">
        <v>32915.550000000003</v>
      </c>
      <c r="D43" s="480">
        <v>0</v>
      </c>
      <c r="E43" s="480">
        <v>295</v>
      </c>
      <c r="F43" s="480">
        <v>133.57000000000002</v>
      </c>
      <c r="G43" s="480">
        <v>132</v>
      </c>
      <c r="H43" s="480">
        <v>25080</v>
      </c>
      <c r="I43" s="480">
        <v>146474.20000000001</v>
      </c>
      <c r="J43" s="480">
        <v>31269.772499999999</v>
      </c>
      <c r="K43" s="480">
        <v>-2725.9100000000003</v>
      </c>
      <c r="L43" s="480">
        <v>-7570.58</v>
      </c>
      <c r="M43" s="480">
        <v>40612.720000000001</v>
      </c>
      <c r="N43" s="480">
        <v>2975.55</v>
      </c>
      <c r="O43" s="480">
        <v>-3399.0299999999997</v>
      </c>
      <c r="P43" s="480">
        <v>866.4</v>
      </c>
      <c r="Q43" s="480">
        <v>233583.12250000003</v>
      </c>
    </row>
    <row r="44" spans="1:17">
      <c r="A44" s="478" t="s">
        <v>779</v>
      </c>
      <c r="B44" s="479">
        <v>1</v>
      </c>
      <c r="C44" s="480">
        <v>595.70000000000005</v>
      </c>
      <c r="D44" s="480">
        <v>0</v>
      </c>
      <c r="E44" s="480">
        <v>0</v>
      </c>
      <c r="F44" s="480">
        <v>0</v>
      </c>
      <c r="G44" s="480">
        <v>0</v>
      </c>
      <c r="H44" s="480">
        <v>190</v>
      </c>
      <c r="I44" s="480">
        <v>2650.87</v>
      </c>
      <c r="J44" s="480">
        <v>565.91499999999996</v>
      </c>
      <c r="K44" s="480">
        <v>0</v>
      </c>
      <c r="L44" s="480">
        <v>-107.23</v>
      </c>
      <c r="M44" s="480">
        <v>0</v>
      </c>
      <c r="N44" s="480">
        <v>53.85</v>
      </c>
      <c r="O44" s="480">
        <v>0</v>
      </c>
      <c r="P44" s="480">
        <v>0</v>
      </c>
      <c r="Q44" s="480">
        <v>3353.4049999999997</v>
      </c>
    </row>
    <row r="45" spans="1:17">
      <c r="A45" s="478" t="s">
        <v>780</v>
      </c>
      <c r="B45" s="479">
        <v>29</v>
      </c>
      <c r="C45" s="480">
        <v>617774</v>
      </c>
      <c r="D45" s="480">
        <v>0</v>
      </c>
      <c r="E45" s="480">
        <v>2786</v>
      </c>
      <c r="F45" s="480">
        <v>1502.9599999999998</v>
      </c>
      <c r="G45" s="480">
        <v>1252</v>
      </c>
      <c r="H45" s="480">
        <v>187800</v>
      </c>
      <c r="I45" s="480">
        <v>2749094.3000000003</v>
      </c>
      <c r="J45" s="480">
        <v>586885.29999999981</v>
      </c>
      <c r="K45" s="480">
        <v>-60339.60000000002</v>
      </c>
      <c r="L45" s="480">
        <v>-117377.05999999995</v>
      </c>
      <c r="M45" s="480">
        <v>275462.09999999998</v>
      </c>
      <c r="N45" s="480">
        <v>55846.790000000008</v>
      </c>
      <c r="O45" s="480">
        <v>-197650.01000000004</v>
      </c>
      <c r="P45" s="480">
        <v>7965</v>
      </c>
      <c r="Q45" s="480">
        <v>3487686.8200000003</v>
      </c>
    </row>
    <row r="46" spans="1:17" ht="15">
      <c r="A46" s="481"/>
      <c r="B46" s="482">
        <f>SUM(B41:B45)</f>
        <v>114</v>
      </c>
      <c r="C46" s="483">
        <f>SUM(C41:C45)</f>
        <v>7057127.0499999998</v>
      </c>
      <c r="D46" s="483">
        <f>SUM(D41:D45)</f>
        <v>0</v>
      </c>
      <c r="E46" s="483">
        <f t="shared" ref="E46:Q46" si="4">SUM(E41:E45)</f>
        <v>27264</v>
      </c>
      <c r="F46" s="483">
        <f t="shared" si="4"/>
        <v>16793.29</v>
      </c>
      <c r="G46" s="483">
        <f t="shared" si="4"/>
        <v>17916</v>
      </c>
      <c r="H46" s="483">
        <f t="shared" si="4"/>
        <v>3360230</v>
      </c>
      <c r="I46" s="483">
        <f t="shared" si="4"/>
        <v>29878646.669999994</v>
      </c>
      <c r="J46" s="483">
        <f t="shared" si="4"/>
        <v>6704270.6974999998</v>
      </c>
      <c r="K46" s="483">
        <f t="shared" si="4"/>
        <v>-627667.71000000008</v>
      </c>
      <c r="L46" s="483">
        <f t="shared" si="4"/>
        <v>-1278106.3999999999</v>
      </c>
      <c r="M46" s="483">
        <f t="shared" si="4"/>
        <v>2747738.5100000012</v>
      </c>
      <c r="N46" s="483">
        <f t="shared" si="4"/>
        <v>637964.32000000018</v>
      </c>
      <c r="O46" s="483">
        <f t="shared" si="4"/>
        <v>-1779305.7600000005</v>
      </c>
      <c r="P46" s="483">
        <f t="shared" si="4"/>
        <v>44741.4</v>
      </c>
      <c r="Q46" s="483">
        <f t="shared" si="4"/>
        <v>39688511.727499999</v>
      </c>
    </row>
    <row r="47" spans="1:17">
      <c r="A47" s="462">
        <v>42979</v>
      </c>
    </row>
    <row r="48" spans="1:17" ht="30">
      <c r="A48" s="476" t="s">
        <v>771</v>
      </c>
      <c r="B48" s="476" t="s">
        <v>772</v>
      </c>
      <c r="C48" s="477" t="s">
        <v>773</v>
      </c>
      <c r="D48" s="477" t="s">
        <v>828</v>
      </c>
      <c r="E48" s="477" t="s">
        <v>829</v>
      </c>
      <c r="F48" s="477" t="s">
        <v>830</v>
      </c>
      <c r="G48" s="477" t="s">
        <v>831</v>
      </c>
      <c r="H48" s="477" t="s">
        <v>832</v>
      </c>
      <c r="I48" s="477" t="s">
        <v>833</v>
      </c>
      <c r="J48" s="477" t="s">
        <v>834</v>
      </c>
      <c r="K48" s="477" t="s">
        <v>835</v>
      </c>
      <c r="L48" s="477" t="s">
        <v>836</v>
      </c>
      <c r="M48" s="477" t="s">
        <v>837</v>
      </c>
      <c r="N48" s="477" t="s">
        <v>838</v>
      </c>
      <c r="O48" s="477" t="s">
        <v>839</v>
      </c>
      <c r="P48" s="477" t="s">
        <v>840</v>
      </c>
      <c r="Q48" s="477" t="s">
        <v>841</v>
      </c>
    </row>
    <row r="49" spans="1:19">
      <c r="A49" s="478" t="s">
        <v>776</v>
      </c>
      <c r="B49" s="479">
        <v>42</v>
      </c>
      <c r="C49" s="480">
        <v>6305107.5999999996</v>
      </c>
      <c r="D49" s="480">
        <v>0</v>
      </c>
      <c r="E49" s="480">
        <v>23997</v>
      </c>
      <c r="F49" s="480">
        <v>16010.279999999999</v>
      </c>
      <c r="G49" s="480">
        <v>17080</v>
      </c>
      <c r="H49" s="480">
        <v>3245200</v>
      </c>
      <c r="I49" s="480">
        <v>26544503.000000004</v>
      </c>
      <c r="J49" s="480">
        <v>5989852.2199999997</v>
      </c>
      <c r="K49" s="480">
        <v>-492790.8</v>
      </c>
      <c r="L49" s="480">
        <v>-1324072.6000000001</v>
      </c>
      <c r="M49" s="480">
        <v>2357129.3299999996</v>
      </c>
      <c r="N49" s="480">
        <v>569981.72</v>
      </c>
      <c r="O49" s="480">
        <v>-1582981.5000000005</v>
      </c>
      <c r="P49" s="480">
        <v>41895</v>
      </c>
      <c r="Q49" s="480">
        <v>35348716.369999997</v>
      </c>
    </row>
    <row r="50" spans="1:19">
      <c r="A50" s="478"/>
      <c r="B50" s="479"/>
      <c r="C50" s="480"/>
      <c r="D50" s="480"/>
      <c r="E50" s="480"/>
      <c r="F50" s="480"/>
      <c r="G50" s="480"/>
      <c r="H50" s="480"/>
      <c r="I50" s="480"/>
      <c r="J50" s="480"/>
      <c r="K50" s="480"/>
      <c r="L50" s="480"/>
      <c r="M50" s="480"/>
      <c r="N50" s="480"/>
      <c r="O50" s="480"/>
      <c r="P50" s="480"/>
      <c r="Q50" s="480"/>
    </row>
    <row r="51" spans="1:19">
      <c r="A51" s="478" t="s">
        <v>777</v>
      </c>
      <c r="B51" s="479">
        <v>32</v>
      </c>
      <c r="C51" s="480">
        <v>49558.689999999988</v>
      </c>
      <c r="D51" s="480">
        <v>0</v>
      </c>
      <c r="E51" s="480">
        <v>0</v>
      </c>
      <c r="F51" s="480">
        <v>0</v>
      </c>
      <c r="G51" s="480">
        <v>0</v>
      </c>
      <c r="H51" s="480">
        <v>6080</v>
      </c>
      <c r="I51" s="480">
        <v>220536.24999999997</v>
      </c>
      <c r="J51" s="480">
        <v>47080.755499999999</v>
      </c>
      <c r="K51" s="480">
        <v>0</v>
      </c>
      <c r="L51" s="480">
        <v>-10407.33</v>
      </c>
      <c r="M51" s="480">
        <v>55290.87000000001</v>
      </c>
      <c r="N51" s="480">
        <v>4480.0999999999995</v>
      </c>
      <c r="O51" s="480">
        <v>0</v>
      </c>
      <c r="P51" s="480">
        <v>0</v>
      </c>
      <c r="Q51" s="480">
        <v>323060.64549999998</v>
      </c>
    </row>
    <row r="52" spans="1:19">
      <c r="A52" s="478" t="s">
        <v>778</v>
      </c>
      <c r="B52" s="479">
        <v>9</v>
      </c>
      <c r="C52" s="480">
        <v>24982.57</v>
      </c>
      <c r="D52" s="480">
        <v>0</v>
      </c>
      <c r="E52" s="480">
        <v>295</v>
      </c>
      <c r="F52" s="480">
        <v>115.3</v>
      </c>
      <c r="G52" s="480">
        <v>128</v>
      </c>
      <c r="H52" s="480">
        <v>24320</v>
      </c>
      <c r="I52" s="480">
        <v>111172.45</v>
      </c>
      <c r="J52" s="480">
        <v>23733.441500000001</v>
      </c>
      <c r="K52" s="480">
        <v>-2836.8500000000004</v>
      </c>
      <c r="L52" s="480">
        <v>-6745.29</v>
      </c>
      <c r="M52" s="480">
        <v>31556.860000000004</v>
      </c>
      <c r="N52" s="480">
        <v>2258.4200000000005</v>
      </c>
      <c r="O52" s="480">
        <v>-1421.9</v>
      </c>
      <c r="P52" s="480">
        <v>627</v>
      </c>
      <c r="Q52" s="480">
        <v>182664.13149999999</v>
      </c>
    </row>
    <row r="53" spans="1:19">
      <c r="A53" s="478" t="s">
        <v>779</v>
      </c>
      <c r="B53" s="479">
        <v>1</v>
      </c>
      <c r="C53" s="480">
        <v>520</v>
      </c>
      <c r="D53" s="480">
        <v>0</v>
      </c>
      <c r="E53" s="480">
        <v>0</v>
      </c>
      <c r="F53" s="480">
        <v>0</v>
      </c>
      <c r="G53" s="480">
        <v>0</v>
      </c>
      <c r="H53" s="480">
        <v>190</v>
      </c>
      <c r="I53" s="480">
        <v>2314</v>
      </c>
      <c r="J53" s="480">
        <v>494</v>
      </c>
      <c r="K53" s="480">
        <v>0</v>
      </c>
      <c r="L53" s="480">
        <v>-109.2</v>
      </c>
      <c r="M53" s="480">
        <v>0</v>
      </c>
      <c r="N53" s="480">
        <v>47.01</v>
      </c>
      <c r="O53" s="480">
        <v>0</v>
      </c>
      <c r="P53" s="480">
        <v>0</v>
      </c>
      <c r="Q53" s="480">
        <v>2935.8100000000004</v>
      </c>
    </row>
    <row r="54" spans="1:19">
      <c r="A54" s="478" t="s">
        <v>780</v>
      </c>
      <c r="B54" s="479">
        <v>29</v>
      </c>
      <c r="C54" s="480">
        <v>607800</v>
      </c>
      <c r="D54" s="480">
        <v>0</v>
      </c>
      <c r="E54" s="480">
        <v>2786</v>
      </c>
      <c r="F54" s="480">
        <v>1575.44</v>
      </c>
      <c r="G54" s="480">
        <v>1284</v>
      </c>
      <c r="H54" s="480">
        <v>192600</v>
      </c>
      <c r="I54" s="480">
        <v>2704710</v>
      </c>
      <c r="J54" s="480">
        <v>577410</v>
      </c>
      <c r="K54" s="480">
        <v>-56389.39999999998</v>
      </c>
      <c r="L54" s="480">
        <v>-127638.00000000001</v>
      </c>
      <c r="M54" s="480">
        <v>271576.88</v>
      </c>
      <c r="N54" s="480">
        <v>54945.129999999983</v>
      </c>
      <c r="O54" s="480">
        <v>-194873.04000000004</v>
      </c>
      <c r="P54" s="480">
        <v>11709</v>
      </c>
      <c r="Q54" s="480">
        <v>3434050.5699999994</v>
      </c>
    </row>
    <row r="55" spans="1:19" ht="15">
      <c r="A55" s="481"/>
      <c r="B55" s="482">
        <f>SUM(B49:B54)</f>
        <v>113</v>
      </c>
      <c r="C55" s="483">
        <f>SUM(C49:C54)</f>
        <v>6987968.8600000003</v>
      </c>
      <c r="D55" s="483">
        <f>SUM(D49:D54)</f>
        <v>0</v>
      </c>
      <c r="E55" s="483">
        <f t="shared" ref="E55:Q55" si="5">SUM(E49:E54)</f>
        <v>27078</v>
      </c>
      <c r="F55" s="483">
        <f t="shared" si="5"/>
        <v>17701.019999999997</v>
      </c>
      <c r="G55" s="483">
        <f t="shared" si="5"/>
        <v>18492</v>
      </c>
      <c r="H55" s="483">
        <f t="shared" si="5"/>
        <v>3468390</v>
      </c>
      <c r="I55" s="483">
        <f t="shared" si="5"/>
        <v>29583235.700000003</v>
      </c>
      <c r="J55" s="483">
        <f t="shared" si="5"/>
        <v>6638570.4169999994</v>
      </c>
      <c r="K55" s="483">
        <f t="shared" si="5"/>
        <v>-552017.04999999993</v>
      </c>
      <c r="L55" s="483">
        <f t="shared" si="5"/>
        <v>-1468972.4200000002</v>
      </c>
      <c r="M55" s="483">
        <f t="shared" si="5"/>
        <v>2715553.9399999995</v>
      </c>
      <c r="N55" s="483">
        <f t="shared" si="5"/>
        <v>631712.38</v>
      </c>
      <c r="O55" s="483">
        <f t="shared" si="5"/>
        <v>-1779276.4400000004</v>
      </c>
      <c r="P55" s="483">
        <f t="shared" si="5"/>
        <v>54231</v>
      </c>
      <c r="Q55" s="483">
        <f t="shared" si="5"/>
        <v>39291427.526999995</v>
      </c>
    </row>
    <row r="58" spans="1:19" ht="15">
      <c r="A58" s="461" t="s">
        <v>844</v>
      </c>
      <c r="B58" s="460"/>
    </row>
    <row r="59" spans="1:19" s="579" customFormat="1" ht="75">
      <c r="A59" s="576" t="s">
        <v>771</v>
      </c>
      <c r="B59" s="576" t="s">
        <v>772</v>
      </c>
      <c r="C59" s="577" t="s">
        <v>773</v>
      </c>
      <c r="D59" s="577" t="s">
        <v>828</v>
      </c>
      <c r="E59" s="577" t="s">
        <v>829</v>
      </c>
      <c r="F59" s="577" t="s">
        <v>830</v>
      </c>
      <c r="G59" s="577" t="s">
        <v>831</v>
      </c>
      <c r="H59" s="577" t="s">
        <v>832</v>
      </c>
      <c r="I59" s="577" t="s">
        <v>833</v>
      </c>
      <c r="J59" s="577" t="s">
        <v>834</v>
      </c>
      <c r="K59" s="577" t="s">
        <v>835</v>
      </c>
      <c r="L59" s="577" t="s">
        <v>836</v>
      </c>
      <c r="M59" s="577" t="s">
        <v>837</v>
      </c>
      <c r="N59" s="577" t="s">
        <v>838</v>
      </c>
      <c r="O59" s="577" t="s">
        <v>839</v>
      </c>
      <c r="P59" s="577" t="s">
        <v>840</v>
      </c>
      <c r="Q59" s="577" t="s">
        <v>841</v>
      </c>
      <c r="R59" s="577" t="s">
        <v>1187</v>
      </c>
      <c r="S59" s="578" t="s">
        <v>881</v>
      </c>
    </row>
    <row r="60" spans="1:19">
      <c r="A60" s="478" t="s">
        <v>776</v>
      </c>
      <c r="B60" s="479">
        <f>B49</f>
        <v>42</v>
      </c>
      <c r="C60" s="480">
        <f t="shared" ref="C60:G60" si="6">C49+C41+C32+C23+C15+C7</f>
        <v>39735758.200000003</v>
      </c>
      <c r="D60" s="480">
        <f t="shared" si="6"/>
        <v>-1196</v>
      </c>
      <c r="E60" s="480">
        <f>E49+E41+E32+E23+E15+E7</f>
        <v>144152</v>
      </c>
      <c r="F60" s="480">
        <f t="shared" si="6"/>
        <v>97281.37999999999</v>
      </c>
      <c r="G60" s="480">
        <f t="shared" si="6"/>
        <v>102980</v>
      </c>
      <c r="H60" s="480">
        <f>H49+H41+H32+H23+H15+H7</f>
        <v>19566200</v>
      </c>
      <c r="I60" s="480">
        <f t="shared" ref="I60:Q60" si="7">I49+I41+I32+I23+I15+I7</f>
        <v>167287542.02999997</v>
      </c>
      <c r="J60" s="480">
        <f t="shared" si="7"/>
        <v>37748970.289999999</v>
      </c>
      <c r="K60" s="480">
        <f t="shared" si="7"/>
        <v>-2839580.66</v>
      </c>
      <c r="L60" s="557">
        <f t="shared" si="7"/>
        <v>11383.680000000633</v>
      </c>
      <c r="M60" s="480">
        <f t="shared" si="7"/>
        <v>15469082.210000001</v>
      </c>
      <c r="N60" s="480">
        <f t="shared" si="7"/>
        <v>3592112.54</v>
      </c>
      <c r="O60" s="480">
        <f t="shared" si="7"/>
        <v>-9723195.4500000011</v>
      </c>
      <c r="P60" s="480">
        <f t="shared" si="7"/>
        <v>235809</v>
      </c>
      <c r="Q60" s="480">
        <f t="shared" si="7"/>
        <v>231348323.64000002</v>
      </c>
      <c r="R60" s="561">
        <f>I60+K60+J60+O60+P60</f>
        <v>192709545.20999998</v>
      </c>
      <c r="S60" s="428">
        <f>Q60/C60</f>
        <v>5.8221696054109771</v>
      </c>
    </row>
    <row r="61" spans="1:19">
      <c r="A61" s="478" t="s">
        <v>850</v>
      </c>
      <c r="B61" s="479">
        <f t="shared" ref="B61:B65" si="8">B50</f>
        <v>0</v>
      </c>
      <c r="C61" s="480"/>
      <c r="D61" s="480"/>
      <c r="E61" s="480"/>
      <c r="F61" s="480"/>
      <c r="G61" s="480"/>
      <c r="H61" s="480"/>
      <c r="I61" s="480"/>
      <c r="J61" s="480"/>
      <c r="K61" s="480"/>
      <c r="L61" s="557"/>
      <c r="M61" s="480"/>
      <c r="N61" s="480"/>
      <c r="O61" s="480"/>
      <c r="P61" s="480"/>
      <c r="Q61" s="480"/>
      <c r="R61" s="561">
        <f t="shared" ref="R61:R65" si="9">I61+K61+J61+O61+P61</f>
        <v>0</v>
      </c>
      <c r="S61" s="428"/>
    </row>
    <row r="62" spans="1:19">
      <c r="A62" s="478" t="s">
        <v>777</v>
      </c>
      <c r="B62" s="479">
        <f t="shared" si="8"/>
        <v>32</v>
      </c>
      <c r="C62" s="480">
        <f t="shared" ref="C62:G62" si="10">C51+C42+C33+C24+C16+C8</f>
        <v>290795.78999999998</v>
      </c>
      <c r="D62" s="480">
        <f t="shared" si="10"/>
        <v>0</v>
      </c>
      <c r="E62" s="480">
        <f t="shared" si="10"/>
        <v>0</v>
      </c>
      <c r="F62" s="480">
        <f t="shared" si="10"/>
        <v>0</v>
      </c>
      <c r="G62" s="480">
        <f t="shared" si="10"/>
        <v>0</v>
      </c>
      <c r="H62" s="480">
        <f t="shared" ref="H62:Q62" si="11">H51+H42+H33+H24+H16+H8</f>
        <v>33250</v>
      </c>
      <c r="I62" s="480">
        <f t="shared" si="11"/>
        <v>1294041.6500000001</v>
      </c>
      <c r="J62" s="480">
        <f t="shared" si="11"/>
        <v>276256.00049999997</v>
      </c>
      <c r="K62" s="480">
        <f t="shared" si="11"/>
        <v>0</v>
      </c>
      <c r="L62" s="557">
        <f t="shared" si="11"/>
        <v>-600.13000000000466</v>
      </c>
      <c r="M62" s="480">
        <f t="shared" si="11"/>
        <v>336619.13</v>
      </c>
      <c r="N62" s="480">
        <f t="shared" si="11"/>
        <v>26288</v>
      </c>
      <c r="O62" s="480">
        <f t="shared" si="11"/>
        <v>0</v>
      </c>
      <c r="P62" s="480">
        <f t="shared" si="11"/>
        <v>0</v>
      </c>
      <c r="Q62" s="480">
        <f t="shared" si="11"/>
        <v>1965854.6505</v>
      </c>
      <c r="R62" s="561">
        <f t="shared" si="9"/>
        <v>1570297.6505</v>
      </c>
      <c r="S62" s="428">
        <f t="shared" ref="S62:S65" si="12">Q62/C62</f>
        <v>6.7602582915660507</v>
      </c>
    </row>
    <row r="63" spans="1:19">
      <c r="A63" s="478" t="s">
        <v>778</v>
      </c>
      <c r="B63" s="479">
        <f t="shared" si="8"/>
        <v>9</v>
      </c>
      <c r="C63" s="480">
        <f t="shared" ref="C63:G63" si="13">C52+C43+C34+C25+C17+C9</f>
        <v>230373.02</v>
      </c>
      <c r="D63" s="480">
        <f t="shared" si="13"/>
        <v>0</v>
      </c>
      <c r="E63" s="480">
        <f t="shared" si="13"/>
        <v>1745</v>
      </c>
      <c r="F63" s="480">
        <f t="shared" si="13"/>
        <v>868.08999999999992</v>
      </c>
      <c r="G63" s="480">
        <f t="shared" si="13"/>
        <v>841</v>
      </c>
      <c r="H63" s="480">
        <f t="shared" ref="H63:Q63" si="14">H52+H43+H34+H25+H17+H9</f>
        <v>159790</v>
      </c>
      <c r="I63" s="480">
        <f t="shared" si="14"/>
        <v>1025159.98</v>
      </c>
      <c r="J63" s="480">
        <f t="shared" si="14"/>
        <v>218854.36899999998</v>
      </c>
      <c r="K63" s="480">
        <f t="shared" si="14"/>
        <v>-10688.7</v>
      </c>
      <c r="L63" s="557">
        <f t="shared" si="14"/>
        <v>14598.050000000003</v>
      </c>
      <c r="M63" s="480">
        <f t="shared" si="14"/>
        <v>300995.21000000002</v>
      </c>
      <c r="N63" s="480">
        <f t="shared" si="14"/>
        <v>20825.690000000002</v>
      </c>
      <c r="O63" s="480">
        <f t="shared" si="14"/>
        <v>-7557.02</v>
      </c>
      <c r="P63" s="480">
        <f t="shared" si="14"/>
        <v>30916.800000000003</v>
      </c>
      <c r="Q63" s="480">
        <f t="shared" si="14"/>
        <v>1752894.3790000002</v>
      </c>
      <c r="R63" s="561">
        <f t="shared" si="9"/>
        <v>1256685.429</v>
      </c>
      <c r="S63" s="428">
        <f t="shared" si="12"/>
        <v>7.6089395320684696</v>
      </c>
    </row>
    <row r="64" spans="1:19">
      <c r="A64" s="478" t="s">
        <v>779</v>
      </c>
      <c r="B64" s="479">
        <f t="shared" si="8"/>
        <v>1</v>
      </c>
      <c r="C64" s="480">
        <f t="shared" ref="C64:G64" si="15">C53+C44+C35+C26+C18+C10</f>
        <v>3560.6000000000004</v>
      </c>
      <c r="D64" s="480">
        <f t="shared" si="15"/>
        <v>0</v>
      </c>
      <c r="E64" s="480">
        <f t="shared" si="15"/>
        <v>0</v>
      </c>
      <c r="F64" s="480">
        <f t="shared" si="15"/>
        <v>0</v>
      </c>
      <c r="G64" s="480">
        <f t="shared" si="15"/>
        <v>0</v>
      </c>
      <c r="H64" s="480">
        <f t="shared" ref="H64:Q64" si="16">H53+H44+H35+H26+H18+H10</f>
        <v>1140</v>
      </c>
      <c r="I64" s="480">
        <f t="shared" si="16"/>
        <v>15844.68</v>
      </c>
      <c r="J64" s="480">
        <f t="shared" si="16"/>
        <v>3382.5699999999997</v>
      </c>
      <c r="K64" s="480">
        <f t="shared" si="16"/>
        <v>0</v>
      </c>
      <c r="L64" s="557">
        <f t="shared" si="16"/>
        <v>-28.920000000000016</v>
      </c>
      <c r="M64" s="480">
        <f t="shared" si="16"/>
        <v>0</v>
      </c>
      <c r="N64" s="480">
        <f t="shared" si="16"/>
        <v>321.88000000000005</v>
      </c>
      <c r="O64" s="480">
        <f t="shared" si="16"/>
        <v>0</v>
      </c>
      <c r="P64" s="480">
        <f t="shared" si="16"/>
        <v>0</v>
      </c>
      <c r="Q64" s="480">
        <f t="shared" si="16"/>
        <v>20660.21</v>
      </c>
      <c r="R64" s="561">
        <f t="shared" si="9"/>
        <v>19227.25</v>
      </c>
      <c r="S64" s="428">
        <f t="shared" si="12"/>
        <v>5.8024518339605677</v>
      </c>
    </row>
    <row r="65" spans="1:19">
      <c r="A65" s="478" t="s">
        <v>780</v>
      </c>
      <c r="B65" s="479">
        <f t="shared" si="8"/>
        <v>29</v>
      </c>
      <c r="C65" s="480">
        <f t="shared" ref="C65:G65" si="17">C54+C45+C36+C27+C19+C11</f>
        <v>3705534.2800000003</v>
      </c>
      <c r="D65" s="480">
        <f t="shared" si="17"/>
        <v>-18035.72</v>
      </c>
      <c r="E65" s="480">
        <f t="shared" si="17"/>
        <v>16478</v>
      </c>
      <c r="F65" s="480">
        <f t="shared" si="17"/>
        <v>9413.2799999999988</v>
      </c>
      <c r="G65" s="480">
        <f t="shared" si="17"/>
        <v>7542</v>
      </c>
      <c r="H65" s="480">
        <f t="shared" ref="H65:Q65" si="18">H54+H45+H36+H27+H19+H11</f>
        <v>1131300</v>
      </c>
      <c r="I65" s="480">
        <f t="shared" si="18"/>
        <v>16489627.550000001</v>
      </c>
      <c r="J65" s="480">
        <f t="shared" si="18"/>
        <v>3520257.5659999996</v>
      </c>
      <c r="K65" s="480">
        <f t="shared" si="18"/>
        <v>-303221.94</v>
      </c>
      <c r="L65" s="557">
        <f t="shared" si="18"/>
        <v>-33098.939999999886</v>
      </c>
      <c r="M65" s="480">
        <f t="shared" si="18"/>
        <v>1708267.66</v>
      </c>
      <c r="N65" s="480">
        <f t="shared" si="18"/>
        <v>334980.32</v>
      </c>
      <c r="O65" s="480">
        <f t="shared" si="18"/>
        <v>-1224118.76</v>
      </c>
      <c r="P65" s="480">
        <f t="shared" si="18"/>
        <v>63513</v>
      </c>
      <c r="Q65" s="480">
        <f t="shared" si="18"/>
        <v>21687506.456</v>
      </c>
      <c r="R65" s="561">
        <f t="shared" si="9"/>
        <v>18546057.415999997</v>
      </c>
      <c r="S65" s="428">
        <f t="shared" si="12"/>
        <v>5.8527339965668865</v>
      </c>
    </row>
    <row r="66" spans="1:19" s="579" customFormat="1" ht="15">
      <c r="A66" s="580"/>
      <c r="B66" s="581">
        <f t="shared" ref="B66:G66" si="19">SUM(B60:B65)</f>
        <v>113</v>
      </c>
      <c r="C66" s="582">
        <f t="shared" si="19"/>
        <v>43966021.890000008</v>
      </c>
      <c r="D66" s="582">
        <f t="shared" si="19"/>
        <v>-19231.72</v>
      </c>
      <c r="E66" s="582">
        <f t="shared" si="19"/>
        <v>162375</v>
      </c>
      <c r="F66" s="582">
        <f t="shared" si="19"/>
        <v>107562.74999999999</v>
      </c>
      <c r="G66" s="582">
        <f t="shared" si="19"/>
        <v>111363</v>
      </c>
      <c r="H66" s="582">
        <f>SUM(H60:H65)</f>
        <v>20891680</v>
      </c>
      <c r="I66" s="582">
        <f t="shared" ref="I66:R66" si="20">SUM(I60:I65)</f>
        <v>186112215.88999999</v>
      </c>
      <c r="J66" s="582">
        <f t="shared" si="20"/>
        <v>41767720.795500003</v>
      </c>
      <c r="K66" s="582">
        <f t="shared" si="20"/>
        <v>-3153491.3000000003</v>
      </c>
      <c r="L66" s="582">
        <f t="shared" si="20"/>
        <v>-7746.2599999992526</v>
      </c>
      <c r="M66" s="582">
        <f t="shared" si="20"/>
        <v>17814964.210000001</v>
      </c>
      <c r="N66" s="582">
        <f t="shared" si="20"/>
        <v>3974528.4299999997</v>
      </c>
      <c r="O66" s="582">
        <f t="shared" si="20"/>
        <v>-10954871.23</v>
      </c>
      <c r="P66" s="582">
        <f t="shared" si="20"/>
        <v>330238.8</v>
      </c>
      <c r="Q66" s="582">
        <f t="shared" si="20"/>
        <v>256775239.33550003</v>
      </c>
      <c r="R66" s="582">
        <f t="shared" si="20"/>
        <v>214101812.95549998</v>
      </c>
    </row>
    <row r="67" spans="1:19" s="488" customFormat="1" ht="15">
      <c r="A67" s="567"/>
      <c r="B67" s="568"/>
      <c r="C67" s="569"/>
      <c r="D67" s="569"/>
      <c r="E67" s="569"/>
      <c r="F67" s="569"/>
      <c r="G67" s="569"/>
      <c r="H67" s="569"/>
      <c r="I67" s="569"/>
      <c r="J67" s="569"/>
      <c r="K67" s="569"/>
      <c r="L67" s="569"/>
      <c r="M67" s="569"/>
      <c r="N67" s="569"/>
      <c r="O67" s="569"/>
      <c r="P67" s="569"/>
      <c r="Q67" s="562">
        <f>Q66-M66-N66</f>
        <v>234985746.69550002</v>
      </c>
      <c r="R67" s="563" t="s">
        <v>880</v>
      </c>
    </row>
    <row r="68" spans="1:19" s="488" customFormat="1" ht="15">
      <c r="A68" s="567" t="s">
        <v>882</v>
      </c>
      <c r="B68" s="568"/>
      <c r="C68" s="570">
        <f>C76/C66</f>
        <v>0.89708389239033781</v>
      </c>
      <c r="D68" s="569"/>
      <c r="E68" s="569"/>
      <c r="F68" s="569"/>
      <c r="G68" s="569"/>
      <c r="H68" s="569"/>
      <c r="I68" s="569"/>
      <c r="J68" s="569"/>
      <c r="K68" s="569"/>
      <c r="L68" s="569"/>
      <c r="M68" s="569"/>
      <c r="N68" s="569"/>
      <c r="O68" s="569"/>
      <c r="P68" s="569"/>
      <c r="Q68" s="569"/>
      <c r="R68" s="569"/>
    </row>
    <row r="69" spans="1:19" s="579" customFormat="1" ht="45">
      <c r="A69" s="576" t="s">
        <v>771</v>
      </c>
      <c r="B69" s="576" t="s">
        <v>772</v>
      </c>
      <c r="C69" s="577" t="s">
        <v>773</v>
      </c>
      <c r="D69" s="577" t="s">
        <v>828</v>
      </c>
      <c r="E69" s="577" t="s">
        <v>829</v>
      </c>
      <c r="F69" s="577" t="s">
        <v>830</v>
      </c>
      <c r="G69" s="577" t="s">
        <v>831</v>
      </c>
      <c r="H69" s="577" t="s">
        <v>832</v>
      </c>
      <c r="I69" s="577" t="s">
        <v>833</v>
      </c>
      <c r="J69" s="577" t="s">
        <v>834</v>
      </c>
      <c r="K69" s="577" t="s">
        <v>835</v>
      </c>
      <c r="L69" s="577" t="s">
        <v>836</v>
      </c>
      <c r="M69" s="577" t="s">
        <v>837</v>
      </c>
      <c r="N69" s="577" t="s">
        <v>838</v>
      </c>
      <c r="O69" s="577" t="s">
        <v>839</v>
      </c>
      <c r="P69" s="577" t="s">
        <v>840</v>
      </c>
      <c r="Q69" s="577" t="s">
        <v>841</v>
      </c>
      <c r="R69" s="577" t="s">
        <v>879</v>
      </c>
    </row>
    <row r="70" spans="1:19" s="488" customFormat="1">
      <c r="A70" s="478" t="s">
        <v>776</v>
      </c>
      <c r="B70" s="479">
        <f>B60</f>
        <v>42</v>
      </c>
      <c r="C70" s="480">
        <f>'F1'!H33*10^6</f>
        <v>35529996.960000008</v>
      </c>
      <c r="D70" s="480"/>
      <c r="E70" s="480"/>
      <c r="F70" s="480">
        <f>F60</f>
        <v>97281.37999999999</v>
      </c>
      <c r="G70" s="480">
        <f>G60</f>
        <v>102980</v>
      </c>
      <c r="H70" s="480">
        <f t="shared" ref="H70:P70" si="21">H60*$C$68</f>
        <v>17552522.855287828</v>
      </c>
      <c r="I70" s="480">
        <f t="shared" si="21"/>
        <v>150070959.35268462</v>
      </c>
      <c r="J70" s="480">
        <f t="shared" si="21"/>
        <v>33863993.201480418</v>
      </c>
      <c r="K70" s="480">
        <f t="shared" si="21"/>
        <v>-2547342.0712291244</v>
      </c>
      <c r="L70" s="480">
        <f t="shared" si="21"/>
        <v>10212.115964126609</v>
      </c>
      <c r="M70" s="480">
        <f t="shared" si="21"/>
        <v>13877064.48065293</v>
      </c>
      <c r="N70" s="480">
        <f t="shared" si="21"/>
        <v>3222426.2992873429</v>
      </c>
      <c r="O70" s="480">
        <f t="shared" si="21"/>
        <v>-8722522.0207580235</v>
      </c>
      <c r="P70" s="480">
        <f t="shared" si="21"/>
        <v>211540.45558067318</v>
      </c>
      <c r="Q70" s="480">
        <f t="shared" ref="Q70:Q75" si="22">SUM(H70:P70)</f>
        <v>207538854.66895077</v>
      </c>
      <c r="R70" s="561">
        <f t="shared" ref="R70:R75" si="23">I70+K70+J70+O70+P70</f>
        <v>172876628.91775855</v>
      </c>
    </row>
    <row r="71" spans="1:19" s="488" customFormat="1">
      <c r="A71" s="478" t="s">
        <v>850</v>
      </c>
      <c r="B71" s="479">
        <f t="shared" ref="B71:B75" si="24">B61</f>
        <v>0</v>
      </c>
      <c r="C71" s="480">
        <f>'F1'!H34*10^6</f>
        <v>0</v>
      </c>
      <c r="D71" s="480"/>
      <c r="E71" s="480"/>
      <c r="F71" s="480"/>
      <c r="G71" s="480"/>
      <c r="H71" s="480">
        <f t="shared" ref="H71:P71" si="25">H61*$C$68</f>
        <v>0</v>
      </c>
      <c r="I71" s="480">
        <f t="shared" si="25"/>
        <v>0</v>
      </c>
      <c r="J71" s="480">
        <f t="shared" si="25"/>
        <v>0</v>
      </c>
      <c r="K71" s="480">
        <f t="shared" si="25"/>
        <v>0</v>
      </c>
      <c r="L71" s="480">
        <f t="shared" si="25"/>
        <v>0</v>
      </c>
      <c r="M71" s="480">
        <f t="shared" si="25"/>
        <v>0</v>
      </c>
      <c r="N71" s="480">
        <f t="shared" si="25"/>
        <v>0</v>
      </c>
      <c r="O71" s="480">
        <f t="shared" si="25"/>
        <v>0</v>
      </c>
      <c r="P71" s="480">
        <f t="shared" si="25"/>
        <v>0</v>
      </c>
      <c r="Q71" s="480">
        <f t="shared" si="22"/>
        <v>0</v>
      </c>
      <c r="R71" s="561">
        <f t="shared" si="23"/>
        <v>0</v>
      </c>
    </row>
    <row r="72" spans="1:19" s="488" customFormat="1">
      <c r="A72" s="478" t="s">
        <v>777</v>
      </c>
      <c r="B72" s="479">
        <f t="shared" si="24"/>
        <v>32</v>
      </c>
      <c r="C72" s="480">
        <f>'F1'!H39*10^6</f>
        <v>340972.70999999996</v>
      </c>
      <c r="D72" s="480"/>
      <c r="E72" s="480"/>
      <c r="F72" s="480"/>
      <c r="G72" s="480"/>
      <c r="H72" s="480">
        <f t="shared" ref="H72:P72" si="26">H62*$C$68</f>
        <v>29828.039421978734</v>
      </c>
      <c r="I72" s="480">
        <f t="shared" si="26"/>
        <v>1160863.9202972152</v>
      </c>
      <c r="J72" s="480">
        <f t="shared" si="26"/>
        <v>247824.80822472708</v>
      </c>
      <c r="K72" s="480">
        <f t="shared" si="26"/>
        <v>0</v>
      </c>
      <c r="L72" s="480">
        <f t="shared" si="26"/>
        <v>-538.3669563402176</v>
      </c>
      <c r="M72" s="480">
        <f t="shared" si="26"/>
        <v>301975.59939344914</v>
      </c>
      <c r="N72" s="480">
        <f t="shared" si="26"/>
        <v>23582.541363157201</v>
      </c>
      <c r="O72" s="480">
        <f t="shared" si="26"/>
        <v>0</v>
      </c>
      <c r="P72" s="480">
        <f t="shared" si="26"/>
        <v>0</v>
      </c>
      <c r="Q72" s="480">
        <f t="shared" si="22"/>
        <v>1763536.5417441872</v>
      </c>
      <c r="R72" s="561">
        <f t="shared" si="23"/>
        <v>1408688.7285219424</v>
      </c>
    </row>
    <row r="73" spans="1:19" s="488" customFormat="1">
      <c r="A73" s="478" t="s">
        <v>778</v>
      </c>
      <c r="B73" s="479">
        <f t="shared" si="24"/>
        <v>9</v>
      </c>
      <c r="C73" s="480">
        <f>'F1'!H40*10^6</f>
        <v>144410.98000000001</v>
      </c>
      <c r="D73" s="480"/>
      <c r="E73" s="480"/>
      <c r="F73" s="480"/>
      <c r="G73" s="480"/>
      <c r="H73" s="480">
        <f t="shared" ref="H73:P73" si="27">H63*$C$68</f>
        <v>143345.03516505208</v>
      </c>
      <c r="I73" s="480">
        <f t="shared" si="27"/>
        <v>919654.5051812008</v>
      </c>
      <c r="J73" s="480">
        <f t="shared" si="27"/>
        <v>196330.72920915126</v>
      </c>
      <c r="K73" s="480">
        <f t="shared" si="27"/>
        <v>-9588.6606005926042</v>
      </c>
      <c r="L73" s="480">
        <f t="shared" si="27"/>
        <v>13095.675515308774</v>
      </c>
      <c r="M73" s="480">
        <f t="shared" si="27"/>
        <v>270017.95457764715</v>
      </c>
      <c r="N73" s="480">
        <f t="shared" si="27"/>
        <v>18682.391046914538</v>
      </c>
      <c r="O73" s="480">
        <f t="shared" si="27"/>
        <v>-6779.2809164716309</v>
      </c>
      <c r="P73" s="480">
        <f t="shared" si="27"/>
        <v>27734.963284253598</v>
      </c>
      <c r="Q73" s="480">
        <f t="shared" si="22"/>
        <v>1572493.312462464</v>
      </c>
      <c r="R73" s="561">
        <f t="shared" si="23"/>
        <v>1127352.2561575414</v>
      </c>
    </row>
    <row r="74" spans="1:19" s="488" customFormat="1">
      <c r="A74" s="478" t="s">
        <v>779</v>
      </c>
      <c r="B74" s="479">
        <f t="shared" si="24"/>
        <v>1</v>
      </c>
      <c r="C74" s="480">
        <f>'F1'!H41*10^6</f>
        <v>2678.6000000000004</v>
      </c>
      <c r="D74" s="480"/>
      <c r="E74" s="480"/>
      <c r="F74" s="480"/>
      <c r="G74" s="480"/>
      <c r="H74" s="480">
        <f t="shared" ref="H74:P74" si="28">H64*$C$68</f>
        <v>1022.6756373249851</v>
      </c>
      <c r="I74" s="480">
        <f t="shared" si="28"/>
        <v>14214.007208079338</v>
      </c>
      <c r="J74" s="480">
        <f t="shared" si="28"/>
        <v>3034.4490618827849</v>
      </c>
      <c r="K74" s="480">
        <f t="shared" si="28"/>
        <v>0</v>
      </c>
      <c r="L74" s="480">
        <f t="shared" si="28"/>
        <v>-25.943666167928583</v>
      </c>
      <c r="M74" s="480">
        <f t="shared" si="28"/>
        <v>0</v>
      </c>
      <c r="N74" s="480">
        <f t="shared" si="28"/>
        <v>288.75336328260198</v>
      </c>
      <c r="O74" s="480">
        <f t="shared" si="28"/>
        <v>0</v>
      </c>
      <c r="P74" s="480">
        <f t="shared" si="28"/>
        <v>0</v>
      </c>
      <c r="Q74" s="480">
        <f t="shared" si="22"/>
        <v>18533.941604401782</v>
      </c>
      <c r="R74" s="561">
        <f t="shared" si="23"/>
        <v>17248.456269962124</v>
      </c>
    </row>
    <row r="75" spans="1:19" s="488" customFormat="1">
      <c r="A75" s="478" t="s">
        <v>780</v>
      </c>
      <c r="B75" s="479">
        <f t="shared" si="24"/>
        <v>29</v>
      </c>
      <c r="C75" s="480">
        <f>'F1'!H42*10^6</f>
        <v>3423150.8</v>
      </c>
      <c r="D75" s="480"/>
      <c r="E75" s="480"/>
      <c r="F75" s="480"/>
      <c r="G75" s="480"/>
      <c r="H75" s="480">
        <f t="shared" ref="H75:P75" si="29">H65*$C$68</f>
        <v>1014871.0074611892</v>
      </c>
      <c r="I75" s="480">
        <f t="shared" si="29"/>
        <v>14792579.266620951</v>
      </c>
      <c r="J75" s="480">
        <f t="shared" si="29"/>
        <v>3157966.359523816</v>
      </c>
      <c r="K75" s="480">
        <f t="shared" si="29"/>
        <v>-272015.51819334948</v>
      </c>
      <c r="L75" s="480">
        <f t="shared" si="29"/>
        <v>-29692.525929194144</v>
      </c>
      <c r="M75" s="480">
        <f t="shared" si="29"/>
        <v>1532459.4016773342</v>
      </c>
      <c r="N75" s="480">
        <f t="shared" si="29"/>
        <v>300505.44933976093</v>
      </c>
      <c r="O75" s="480">
        <f t="shared" si="29"/>
        <v>-1098137.2219688338</v>
      </c>
      <c r="P75" s="480">
        <f t="shared" si="29"/>
        <v>56976.489257387526</v>
      </c>
      <c r="Q75" s="480">
        <f t="shared" si="22"/>
        <v>19455512.707789063</v>
      </c>
      <c r="R75" s="561">
        <f t="shared" si="23"/>
        <v>16637369.375239972</v>
      </c>
    </row>
    <row r="76" spans="1:19" s="579" customFormat="1" ht="15">
      <c r="A76" s="580"/>
      <c r="B76" s="581">
        <f t="shared" ref="B76" si="30">SUM(B70:B75)</f>
        <v>113</v>
      </c>
      <c r="C76" s="582">
        <f t="shared" ref="C76" si="31">SUM(C70:C75)</f>
        <v>39441210.050000004</v>
      </c>
      <c r="D76" s="582">
        <f t="shared" ref="D76" si="32">SUM(D70:D75)</f>
        <v>0</v>
      </c>
      <c r="E76" s="582">
        <f t="shared" ref="E76" si="33">SUM(E70:E75)</f>
        <v>0</v>
      </c>
      <c r="F76" s="582">
        <f t="shared" ref="F76" si="34">SUM(F70:F75)</f>
        <v>97281.37999999999</v>
      </c>
      <c r="G76" s="582">
        <f t="shared" ref="G76" si="35">SUM(G70:G75)</f>
        <v>102980</v>
      </c>
      <c r="H76" s="582">
        <f>SUM(H70:H75)</f>
        <v>18741589.612973373</v>
      </c>
      <c r="I76" s="582">
        <f t="shared" ref="I76:R76" si="36">SUM(I70:I75)</f>
        <v>166958271.05199206</v>
      </c>
      <c r="J76" s="582">
        <f t="shared" si="36"/>
        <v>37469149.547500007</v>
      </c>
      <c r="K76" s="582">
        <f t="shared" si="36"/>
        <v>-2828946.2500230661</v>
      </c>
      <c r="L76" s="582">
        <f t="shared" si="36"/>
        <v>-6949.0450722669084</v>
      </c>
      <c r="M76" s="582">
        <f t="shared" si="36"/>
        <v>15981517.436301362</v>
      </c>
      <c r="N76" s="582">
        <f t="shared" si="36"/>
        <v>3565485.4344004584</v>
      </c>
      <c r="O76" s="582">
        <f t="shared" si="36"/>
        <v>-9827438.5236433279</v>
      </c>
      <c r="P76" s="582">
        <f t="shared" si="36"/>
        <v>296251.90812231431</v>
      </c>
      <c r="Q76" s="582">
        <f t="shared" si="36"/>
        <v>230348931.17255089</v>
      </c>
      <c r="R76" s="582">
        <f t="shared" si="36"/>
        <v>192067287.73394796</v>
      </c>
    </row>
    <row r="77" spans="1:19" s="575" customFormat="1" ht="15">
      <c r="A77" s="572"/>
      <c r="B77" s="573"/>
      <c r="C77" s="574"/>
      <c r="D77" s="574"/>
      <c r="E77" s="574"/>
      <c r="F77" s="574"/>
      <c r="G77" s="574"/>
      <c r="H77" s="574"/>
      <c r="I77" s="574"/>
      <c r="J77" s="574"/>
      <c r="K77" s="574"/>
      <c r="L77" s="574"/>
      <c r="M77" s="574"/>
      <c r="N77" s="574"/>
      <c r="O77" s="574"/>
      <c r="P77" s="574"/>
      <c r="Q77" s="562">
        <f>Q76-M76-N76</f>
        <v>210801928.30184907</v>
      </c>
      <c r="R77" s="574"/>
    </row>
    <row r="78" spans="1:19" s="488" customFormat="1" ht="15">
      <c r="A78" s="571" t="s">
        <v>843</v>
      </c>
      <c r="B78" s="568"/>
      <c r="C78" s="570"/>
      <c r="D78" s="569"/>
      <c r="E78" s="569"/>
      <c r="F78" s="569"/>
      <c r="G78" s="569"/>
      <c r="H78" s="569"/>
      <c r="I78" s="569"/>
      <c r="J78" s="569"/>
      <c r="K78" s="569"/>
      <c r="L78" s="569"/>
      <c r="M78" s="569"/>
      <c r="N78" s="569"/>
      <c r="O78" s="569"/>
      <c r="P78" s="569"/>
      <c r="Q78" s="569"/>
      <c r="R78" s="569"/>
    </row>
    <row r="79" spans="1:19" s="488" customFormat="1" ht="45">
      <c r="A79" s="489" t="s">
        <v>771</v>
      </c>
      <c r="B79" s="489" t="s">
        <v>772</v>
      </c>
      <c r="C79" s="490" t="s">
        <v>773</v>
      </c>
      <c r="D79" s="490" t="s">
        <v>828</v>
      </c>
      <c r="E79" s="490" t="s">
        <v>829</v>
      </c>
      <c r="F79" s="490" t="s">
        <v>830</v>
      </c>
      <c r="G79" s="490" t="s">
        <v>831</v>
      </c>
      <c r="H79" s="490" t="s">
        <v>832</v>
      </c>
      <c r="I79" s="490" t="s">
        <v>833</v>
      </c>
      <c r="J79" s="490" t="s">
        <v>834</v>
      </c>
      <c r="K79" s="490" t="s">
        <v>835</v>
      </c>
      <c r="L79" s="554" t="s">
        <v>836</v>
      </c>
      <c r="M79" s="490" t="s">
        <v>837</v>
      </c>
      <c r="N79" s="490" t="s">
        <v>838</v>
      </c>
      <c r="O79" s="490" t="s">
        <v>839</v>
      </c>
      <c r="P79" s="490" t="s">
        <v>840</v>
      </c>
      <c r="Q79" s="490" t="s">
        <v>841</v>
      </c>
      <c r="R79" s="554" t="s">
        <v>879</v>
      </c>
    </row>
    <row r="80" spans="1:19" s="488" customFormat="1">
      <c r="A80" s="478" t="s">
        <v>776</v>
      </c>
      <c r="B80" s="479">
        <f>B70</f>
        <v>42</v>
      </c>
      <c r="C80" s="480">
        <f>C60+C70</f>
        <v>75265755.160000011</v>
      </c>
      <c r="D80" s="480">
        <f t="shared" ref="D80:R80" si="37">D60+D70</f>
        <v>-1196</v>
      </c>
      <c r="E80" s="480">
        <f>E60+E70</f>
        <v>144152</v>
      </c>
      <c r="F80" s="480">
        <f t="shared" si="37"/>
        <v>194562.75999999998</v>
      </c>
      <c r="G80" s="480">
        <f t="shared" si="37"/>
        <v>205960</v>
      </c>
      <c r="H80" s="480">
        <f t="shared" si="37"/>
        <v>37118722.855287828</v>
      </c>
      <c r="I80" s="480">
        <f t="shared" si="37"/>
        <v>317358501.38268459</v>
      </c>
      <c r="J80" s="480">
        <f t="shared" si="37"/>
        <v>71612963.49148041</v>
      </c>
      <c r="K80" s="480">
        <f t="shared" si="37"/>
        <v>-5386922.7312291246</v>
      </c>
      <c r="L80" s="480">
        <f t="shared" si="37"/>
        <v>21595.795964127243</v>
      </c>
      <c r="M80" s="480">
        <f t="shared" si="37"/>
        <v>29346146.690652929</v>
      </c>
      <c r="N80" s="480">
        <f t="shared" si="37"/>
        <v>6814538.8392873425</v>
      </c>
      <c r="O80" s="480">
        <f t="shared" si="37"/>
        <v>-18445717.470758025</v>
      </c>
      <c r="P80" s="480">
        <f t="shared" si="37"/>
        <v>447349.45558067318</v>
      </c>
      <c r="Q80" s="480">
        <f t="shared" si="37"/>
        <v>438887178.30895078</v>
      </c>
      <c r="R80" s="480">
        <f t="shared" si="37"/>
        <v>365586174.1277585</v>
      </c>
    </row>
    <row r="81" spans="1:18" s="488" customFormat="1">
      <c r="A81" s="478" t="s">
        <v>850</v>
      </c>
      <c r="B81" s="479">
        <f t="shared" ref="B81" si="38">B71</f>
        <v>0</v>
      </c>
      <c r="C81" s="480">
        <f t="shared" ref="C81:R81" si="39">C61+C71</f>
        <v>0</v>
      </c>
      <c r="D81" s="480">
        <f t="shared" si="39"/>
        <v>0</v>
      </c>
      <c r="E81" s="480">
        <f t="shared" si="39"/>
        <v>0</v>
      </c>
      <c r="F81" s="480">
        <f t="shared" si="39"/>
        <v>0</v>
      </c>
      <c r="G81" s="480">
        <f t="shared" si="39"/>
        <v>0</v>
      </c>
      <c r="H81" s="480">
        <f t="shared" si="39"/>
        <v>0</v>
      </c>
      <c r="I81" s="480">
        <f t="shared" si="39"/>
        <v>0</v>
      </c>
      <c r="J81" s="480">
        <f t="shared" si="39"/>
        <v>0</v>
      </c>
      <c r="K81" s="480">
        <f t="shared" si="39"/>
        <v>0</v>
      </c>
      <c r="L81" s="480">
        <f t="shared" si="39"/>
        <v>0</v>
      </c>
      <c r="M81" s="480">
        <f t="shared" si="39"/>
        <v>0</v>
      </c>
      <c r="N81" s="480">
        <f t="shared" si="39"/>
        <v>0</v>
      </c>
      <c r="O81" s="480">
        <f t="shared" si="39"/>
        <v>0</v>
      </c>
      <c r="P81" s="480">
        <f t="shared" si="39"/>
        <v>0</v>
      </c>
      <c r="Q81" s="480">
        <f t="shared" si="39"/>
        <v>0</v>
      </c>
      <c r="R81" s="480">
        <f t="shared" si="39"/>
        <v>0</v>
      </c>
    </row>
    <row r="82" spans="1:18" s="488" customFormat="1">
      <c r="A82" s="478" t="s">
        <v>787</v>
      </c>
      <c r="B82" s="479"/>
      <c r="C82" s="480"/>
      <c r="D82" s="480"/>
      <c r="E82" s="480"/>
      <c r="F82" s="480"/>
      <c r="G82" s="480"/>
      <c r="H82" s="480"/>
      <c r="I82" s="480"/>
      <c r="J82" s="480"/>
      <c r="K82" s="480"/>
      <c r="L82" s="480"/>
      <c r="M82" s="480"/>
      <c r="N82" s="480"/>
      <c r="O82" s="480"/>
      <c r="P82" s="480"/>
      <c r="Q82" s="480"/>
      <c r="R82" s="480"/>
    </row>
    <row r="83" spans="1:18" s="488" customFormat="1">
      <c r="A83" s="478" t="s">
        <v>777</v>
      </c>
      <c r="B83" s="479">
        <f>B72</f>
        <v>32</v>
      </c>
      <c r="C83" s="480">
        <f t="shared" ref="C83:R83" si="40">C62+C72</f>
        <v>631768.5</v>
      </c>
      <c r="D83" s="480">
        <f t="shared" si="40"/>
        <v>0</v>
      </c>
      <c r="E83" s="480">
        <f t="shared" si="40"/>
        <v>0</v>
      </c>
      <c r="F83" s="480">
        <f t="shared" si="40"/>
        <v>0</v>
      </c>
      <c r="G83" s="480">
        <f t="shared" si="40"/>
        <v>0</v>
      </c>
      <c r="H83" s="480">
        <f t="shared" si="40"/>
        <v>63078.039421978734</v>
      </c>
      <c r="I83" s="480">
        <f t="shared" si="40"/>
        <v>2454905.5702972151</v>
      </c>
      <c r="J83" s="480">
        <f t="shared" si="40"/>
        <v>524080.80872472702</v>
      </c>
      <c r="K83" s="480">
        <f t="shared" si="40"/>
        <v>0</v>
      </c>
      <c r="L83" s="480">
        <f t="shared" si="40"/>
        <v>-1138.4969563402224</v>
      </c>
      <c r="M83" s="480">
        <f t="shared" si="40"/>
        <v>638594.72939344915</v>
      </c>
      <c r="N83" s="480">
        <f t="shared" si="40"/>
        <v>49870.541363157201</v>
      </c>
      <c r="O83" s="480">
        <f t="shared" si="40"/>
        <v>0</v>
      </c>
      <c r="P83" s="480">
        <f t="shared" si="40"/>
        <v>0</v>
      </c>
      <c r="Q83" s="480">
        <f t="shared" si="40"/>
        <v>3729391.192244187</v>
      </c>
      <c r="R83" s="480">
        <f t="shared" si="40"/>
        <v>2978986.3790219426</v>
      </c>
    </row>
    <row r="84" spans="1:18" s="488" customFormat="1">
      <c r="A84" s="478" t="s">
        <v>778</v>
      </c>
      <c r="B84" s="479">
        <f>B73</f>
        <v>9</v>
      </c>
      <c r="C84" s="480">
        <f t="shared" ref="C84:R84" si="41">C63+C73</f>
        <v>374784</v>
      </c>
      <c r="D84" s="480">
        <f t="shared" si="41"/>
        <v>0</v>
      </c>
      <c r="E84" s="480">
        <f t="shared" si="41"/>
        <v>1745</v>
      </c>
      <c r="F84" s="480">
        <f t="shared" si="41"/>
        <v>868.08999999999992</v>
      </c>
      <c r="G84" s="480">
        <f t="shared" si="41"/>
        <v>841</v>
      </c>
      <c r="H84" s="480">
        <f t="shared" si="41"/>
        <v>303135.03516505205</v>
      </c>
      <c r="I84" s="480">
        <f t="shared" si="41"/>
        <v>1944814.4851812008</v>
      </c>
      <c r="J84" s="480">
        <f t="shared" si="41"/>
        <v>415185.09820915124</v>
      </c>
      <c r="K84" s="480">
        <f t="shared" si="41"/>
        <v>-20277.360600592605</v>
      </c>
      <c r="L84" s="480">
        <f t="shared" si="41"/>
        <v>27693.725515308775</v>
      </c>
      <c r="M84" s="480">
        <f t="shared" si="41"/>
        <v>571013.16457764711</v>
      </c>
      <c r="N84" s="480">
        <f t="shared" si="41"/>
        <v>39508.081046914536</v>
      </c>
      <c r="O84" s="480">
        <f t="shared" si="41"/>
        <v>-14336.300916471631</v>
      </c>
      <c r="P84" s="480">
        <f t="shared" si="41"/>
        <v>58651.763284253597</v>
      </c>
      <c r="Q84" s="480">
        <f t="shared" si="41"/>
        <v>3325387.6914624642</v>
      </c>
      <c r="R84" s="480">
        <f t="shared" si="41"/>
        <v>2384037.6851575412</v>
      </c>
    </row>
    <row r="85" spans="1:18" s="488" customFormat="1">
      <c r="A85" s="478" t="s">
        <v>779</v>
      </c>
      <c r="B85" s="479">
        <f>B74</f>
        <v>1</v>
      </c>
      <c r="C85" s="480">
        <f t="shared" ref="C85:R85" si="42">C64+C74</f>
        <v>6239.2000000000007</v>
      </c>
      <c r="D85" s="480">
        <f t="shared" si="42"/>
        <v>0</v>
      </c>
      <c r="E85" s="480">
        <f t="shared" si="42"/>
        <v>0</v>
      </c>
      <c r="F85" s="480">
        <f t="shared" si="42"/>
        <v>0</v>
      </c>
      <c r="G85" s="480">
        <f t="shared" si="42"/>
        <v>0</v>
      </c>
      <c r="H85" s="480">
        <f t="shared" si="42"/>
        <v>2162.675637324985</v>
      </c>
      <c r="I85" s="480">
        <f t="shared" si="42"/>
        <v>30058.68720807934</v>
      </c>
      <c r="J85" s="480">
        <f t="shared" si="42"/>
        <v>6417.0190618827846</v>
      </c>
      <c r="K85" s="480">
        <f t="shared" si="42"/>
        <v>0</v>
      </c>
      <c r="L85" s="480">
        <f t="shared" si="42"/>
        <v>-54.863666167928599</v>
      </c>
      <c r="M85" s="480">
        <f t="shared" si="42"/>
        <v>0</v>
      </c>
      <c r="N85" s="480">
        <f t="shared" si="42"/>
        <v>610.63336328260198</v>
      </c>
      <c r="O85" s="480">
        <f t="shared" si="42"/>
        <v>0</v>
      </c>
      <c r="P85" s="480">
        <f t="shared" si="42"/>
        <v>0</v>
      </c>
      <c r="Q85" s="480">
        <f t="shared" si="42"/>
        <v>39194.151604401777</v>
      </c>
      <c r="R85" s="480">
        <f t="shared" si="42"/>
        <v>36475.706269962124</v>
      </c>
    </row>
    <row r="86" spans="1:18" s="488" customFormat="1">
      <c r="A86" s="478" t="s">
        <v>780</v>
      </c>
      <c r="B86" s="479">
        <f>B75</f>
        <v>29</v>
      </c>
      <c r="C86" s="480">
        <f t="shared" ref="C86:R86" si="43">C65+C75</f>
        <v>7128685.0800000001</v>
      </c>
      <c r="D86" s="480">
        <f t="shared" si="43"/>
        <v>-18035.72</v>
      </c>
      <c r="E86" s="480">
        <f t="shared" si="43"/>
        <v>16478</v>
      </c>
      <c r="F86" s="480">
        <f t="shared" si="43"/>
        <v>9413.2799999999988</v>
      </c>
      <c r="G86" s="480">
        <f t="shared" si="43"/>
        <v>7542</v>
      </c>
      <c r="H86" s="480">
        <f t="shared" si="43"/>
        <v>2146171.0074611893</v>
      </c>
      <c r="I86" s="480">
        <f t="shared" si="43"/>
        <v>31282206.816620953</v>
      </c>
      <c r="J86" s="480">
        <f t="shared" si="43"/>
        <v>6678223.9255238157</v>
      </c>
      <c r="K86" s="480">
        <f t="shared" si="43"/>
        <v>-575237.45819334942</v>
      </c>
      <c r="L86" s="480">
        <f t="shared" si="43"/>
        <v>-62791.465929194033</v>
      </c>
      <c r="M86" s="480">
        <f t="shared" si="43"/>
        <v>3240727.0616773339</v>
      </c>
      <c r="N86" s="480">
        <f t="shared" si="43"/>
        <v>635485.769339761</v>
      </c>
      <c r="O86" s="480">
        <f t="shared" si="43"/>
        <v>-2322255.9819688341</v>
      </c>
      <c r="P86" s="480">
        <f t="shared" si="43"/>
        <v>120489.48925738753</v>
      </c>
      <c r="Q86" s="480">
        <f t="shared" si="43"/>
        <v>41143019.163789064</v>
      </c>
      <c r="R86" s="480">
        <f t="shared" si="43"/>
        <v>35183426.791239969</v>
      </c>
    </row>
    <row r="87" spans="1:18" ht="27.75" customHeight="1">
      <c r="A87" s="492"/>
      <c r="B87" s="549">
        <f t="shared" ref="B87:R87" si="44">SUM(B80:B86)</f>
        <v>113</v>
      </c>
      <c r="C87" s="493">
        <f t="shared" si="44"/>
        <v>83407231.940000013</v>
      </c>
      <c r="D87" s="493">
        <f t="shared" si="44"/>
        <v>-19231.72</v>
      </c>
      <c r="E87" s="493">
        <f t="shared" si="44"/>
        <v>162375</v>
      </c>
      <c r="F87" s="493">
        <f t="shared" si="44"/>
        <v>204844.12999999998</v>
      </c>
      <c r="G87" s="493">
        <f t="shared" si="44"/>
        <v>214343</v>
      </c>
      <c r="H87" s="493">
        <f t="shared" si="44"/>
        <v>39633269.61297337</v>
      </c>
      <c r="I87" s="493">
        <f t="shared" si="44"/>
        <v>353070486.94199204</v>
      </c>
      <c r="J87" s="493">
        <f t="shared" si="44"/>
        <v>79236870.342999995</v>
      </c>
      <c r="K87" s="493">
        <f t="shared" si="44"/>
        <v>-5982437.5500230668</v>
      </c>
      <c r="L87" s="556">
        <f t="shared" si="44"/>
        <v>-14695.305072266165</v>
      </c>
      <c r="M87" s="493">
        <f t="shared" si="44"/>
        <v>33796481.646301359</v>
      </c>
      <c r="N87" s="493">
        <f t="shared" si="44"/>
        <v>7540013.8644004576</v>
      </c>
      <c r="O87" s="493">
        <f t="shared" si="44"/>
        <v>-20782309.75364333</v>
      </c>
      <c r="P87" s="493">
        <f t="shared" si="44"/>
        <v>626490.7081223143</v>
      </c>
      <c r="Q87" s="493">
        <f t="shared" si="44"/>
        <v>487124170.50805092</v>
      </c>
      <c r="R87" s="556">
        <f t="shared" si="44"/>
        <v>406169100.68944794</v>
      </c>
    </row>
    <row r="88" spans="1:18" ht="27.75" customHeight="1">
      <c r="A88" s="792"/>
      <c r="B88" s="793"/>
      <c r="C88" s="794"/>
      <c r="D88" s="794"/>
      <c r="E88" s="794"/>
      <c r="F88" s="794"/>
      <c r="G88" s="794"/>
      <c r="H88" s="794"/>
      <c r="I88" s="794"/>
      <c r="J88" s="794"/>
      <c r="K88" s="794"/>
      <c r="L88" s="795"/>
      <c r="M88" s="794"/>
      <c r="N88" s="794"/>
      <c r="O88" s="794"/>
      <c r="P88" s="794"/>
      <c r="Q88" s="794"/>
      <c r="R88" s="795"/>
    </row>
    <row r="89" spans="1:18" ht="27.75" customHeight="1">
      <c r="A89" s="792"/>
      <c r="B89" s="793"/>
      <c r="C89" s="794"/>
      <c r="D89" s="794"/>
      <c r="E89" s="794"/>
      <c r="F89" s="794"/>
      <c r="G89" s="794"/>
      <c r="H89" s="794"/>
      <c r="I89" s="794"/>
      <c r="J89" s="794"/>
      <c r="K89" s="794"/>
      <c r="L89" s="795"/>
      <c r="M89" s="794"/>
      <c r="N89" s="794"/>
      <c r="O89" s="794"/>
      <c r="P89" s="794"/>
      <c r="Q89" s="794"/>
      <c r="R89" s="795"/>
    </row>
    <row r="90" spans="1:18" ht="27.75" customHeight="1">
      <c r="A90" s="792"/>
      <c r="B90" s="793"/>
      <c r="C90" s="794"/>
      <c r="D90" s="794"/>
      <c r="E90" s="794"/>
      <c r="F90" s="794"/>
      <c r="G90" s="794"/>
      <c r="H90" s="794"/>
      <c r="I90" s="794"/>
      <c r="J90" s="794"/>
      <c r="K90" s="794"/>
      <c r="L90" s="795"/>
      <c r="M90" s="794"/>
      <c r="N90" s="794"/>
      <c r="O90" s="794"/>
      <c r="P90" s="794"/>
      <c r="Q90" s="794"/>
      <c r="R90" s="795"/>
    </row>
    <row r="91" spans="1:18" ht="15">
      <c r="A91" s="571" t="s">
        <v>1006</v>
      </c>
      <c r="B91" s="793"/>
      <c r="C91" s="796">
        <f>C100/C87</f>
        <v>1.1131085650484904</v>
      </c>
      <c r="D91" s="794"/>
      <c r="E91" s="794"/>
      <c r="F91" s="794"/>
      <c r="G91" s="794"/>
      <c r="H91" s="794"/>
      <c r="I91" s="794"/>
      <c r="J91" s="794"/>
      <c r="K91" s="794"/>
      <c r="L91" s="795"/>
      <c r="M91" s="794"/>
      <c r="N91" s="794"/>
      <c r="O91" s="794"/>
      <c r="P91" s="794"/>
      <c r="Q91" s="794"/>
      <c r="R91" s="795"/>
    </row>
    <row r="92" spans="1:18" s="488" customFormat="1" ht="45">
      <c r="A92" s="489" t="s">
        <v>771</v>
      </c>
      <c r="B92" s="489" t="s">
        <v>772</v>
      </c>
      <c r="C92" s="490" t="s">
        <v>773</v>
      </c>
      <c r="D92" s="490" t="s">
        <v>828</v>
      </c>
      <c r="E92" s="490" t="s">
        <v>829</v>
      </c>
      <c r="F92" s="490" t="s">
        <v>830</v>
      </c>
      <c r="G92" s="490" t="s">
        <v>831</v>
      </c>
      <c r="H92" s="490" t="s">
        <v>832</v>
      </c>
      <c r="I92" s="490" t="s">
        <v>833</v>
      </c>
      <c r="J92" s="490" t="s">
        <v>834</v>
      </c>
      <c r="K92" s="490" t="s">
        <v>835</v>
      </c>
      <c r="L92" s="554" t="s">
        <v>836</v>
      </c>
      <c r="M92" s="490" t="s">
        <v>837</v>
      </c>
      <c r="N92" s="490" t="s">
        <v>838</v>
      </c>
      <c r="O92" s="490" t="s">
        <v>839</v>
      </c>
      <c r="P92" s="490" t="s">
        <v>840</v>
      </c>
      <c r="Q92" s="490" t="s">
        <v>841</v>
      </c>
      <c r="R92" s="554" t="s">
        <v>879</v>
      </c>
    </row>
    <row r="93" spans="1:18" s="488" customFormat="1">
      <c r="A93" s="478" t="s">
        <v>776</v>
      </c>
      <c r="B93" s="479">
        <f>Backup!O49</f>
        <v>45</v>
      </c>
      <c r="C93" s="480">
        <f>'F1'!O119*10^6</f>
        <v>79618412.711600021</v>
      </c>
      <c r="D93" s="480"/>
      <c r="E93" s="480"/>
      <c r="F93" s="480"/>
      <c r="G93" s="480"/>
      <c r="H93" s="797">
        <f>H80*$C$91</f>
        <v>41317168.333882041</v>
      </c>
      <c r="I93" s="797">
        <f t="shared" ref="I93:P93" si="45">I80*$C$91</f>
        <v>353254466.08001941</v>
      </c>
      <c r="J93" s="797">
        <f t="shared" si="45"/>
        <v>79713003.030871689</v>
      </c>
      <c r="K93" s="797">
        <f t="shared" si="45"/>
        <v>-5996229.8313855454</v>
      </c>
      <c r="L93" s="797">
        <f t="shared" si="45"/>
        <v>24038.465456709655</v>
      </c>
      <c r="M93" s="797">
        <f t="shared" si="45"/>
        <v>32665447.232535187</v>
      </c>
      <c r="N93" s="797">
        <f t="shared" si="45"/>
        <v>7585321.548866339</v>
      </c>
      <c r="O93" s="797">
        <f t="shared" si="45"/>
        <v>-20532086.105165336</v>
      </c>
      <c r="P93" s="797">
        <f t="shared" si="45"/>
        <v>497948.51057662652</v>
      </c>
      <c r="Q93" s="480">
        <f t="shared" ref="Q93:Q99" si="46">SUM(H93:P93)</f>
        <v>488529077.26565707</v>
      </c>
      <c r="R93" s="561">
        <f t="shared" ref="R93:R99" si="47">I93+K93+J93+O93+P93</f>
        <v>406937101.68491679</v>
      </c>
    </row>
    <row r="94" spans="1:18" s="488" customFormat="1">
      <c r="A94" s="478" t="s">
        <v>850</v>
      </c>
      <c r="B94" s="479">
        <f>Backup!O50</f>
        <v>1</v>
      </c>
      <c r="C94" s="480">
        <f>'F1'!O120*10^6</f>
        <v>5000000</v>
      </c>
      <c r="D94" s="480"/>
      <c r="E94" s="480"/>
      <c r="F94" s="480"/>
      <c r="G94" s="480"/>
      <c r="H94" s="797">
        <f t="shared" ref="H94:P98" si="48">H81*$C$91</f>
        <v>0</v>
      </c>
      <c r="I94" s="797">
        <f t="shared" si="48"/>
        <v>0</v>
      </c>
      <c r="J94" s="797">
        <f t="shared" si="48"/>
        <v>0</v>
      </c>
      <c r="K94" s="797">
        <f t="shared" si="48"/>
        <v>0</v>
      </c>
      <c r="L94" s="797">
        <f t="shared" si="48"/>
        <v>0</v>
      </c>
      <c r="M94" s="797">
        <f t="shared" si="48"/>
        <v>0</v>
      </c>
      <c r="N94" s="797">
        <f t="shared" si="48"/>
        <v>0</v>
      </c>
      <c r="O94" s="797">
        <f t="shared" si="48"/>
        <v>0</v>
      </c>
      <c r="P94" s="797">
        <f t="shared" si="48"/>
        <v>0</v>
      </c>
      <c r="Q94" s="480">
        <f t="shared" si="46"/>
        <v>0</v>
      </c>
      <c r="R94" s="561">
        <f t="shared" si="47"/>
        <v>0</v>
      </c>
    </row>
    <row r="95" spans="1:18" s="488" customFormat="1">
      <c r="A95" s="478" t="s">
        <v>787</v>
      </c>
      <c r="B95" s="479">
        <f>Backup!O52</f>
        <v>0</v>
      </c>
      <c r="C95" s="480">
        <f>'F1'!O122*10^6</f>
        <v>0</v>
      </c>
      <c r="D95" s="480"/>
      <c r="E95" s="480"/>
      <c r="F95" s="480"/>
      <c r="G95" s="480"/>
      <c r="H95" s="797">
        <f t="shared" si="48"/>
        <v>0</v>
      </c>
      <c r="I95" s="797">
        <f t="shared" si="48"/>
        <v>0</v>
      </c>
      <c r="J95" s="797">
        <f t="shared" si="48"/>
        <v>0</v>
      </c>
      <c r="K95" s="797">
        <f t="shared" si="48"/>
        <v>0</v>
      </c>
      <c r="L95" s="797">
        <f t="shared" si="48"/>
        <v>0</v>
      </c>
      <c r="M95" s="797">
        <f t="shared" si="48"/>
        <v>0</v>
      </c>
      <c r="N95" s="797">
        <f t="shared" si="48"/>
        <v>0</v>
      </c>
      <c r="O95" s="797">
        <f t="shared" si="48"/>
        <v>0</v>
      </c>
      <c r="P95" s="797">
        <f t="shared" si="48"/>
        <v>0</v>
      </c>
      <c r="Q95" s="480">
        <f t="shared" si="46"/>
        <v>0</v>
      </c>
      <c r="R95" s="561">
        <f t="shared" si="47"/>
        <v>0</v>
      </c>
    </row>
    <row r="96" spans="1:18" s="488" customFormat="1">
      <c r="A96" s="478" t="s">
        <v>777</v>
      </c>
      <c r="B96" s="479">
        <f>Backup!O53</f>
        <v>32</v>
      </c>
      <c r="C96" s="480">
        <f>'F1'!O123*10^6</f>
        <v>638086.18499999994</v>
      </c>
      <c r="D96" s="480"/>
      <c r="E96" s="480"/>
      <c r="F96" s="480"/>
      <c r="G96" s="480"/>
      <c r="H96" s="797">
        <f t="shared" si="48"/>
        <v>70212.705947070863</v>
      </c>
      <c r="I96" s="797">
        <f t="shared" si="48"/>
        <v>2732576.4166830792</v>
      </c>
      <c r="J96" s="797">
        <f t="shared" si="48"/>
        <v>583358.83696903323</v>
      </c>
      <c r="K96" s="797">
        <f t="shared" si="48"/>
        <v>0</v>
      </c>
      <c r="L96" s="797">
        <f t="shared" si="48"/>
        <v>-1267.2707133839388</v>
      </c>
      <c r="M96" s="797">
        <f t="shared" si="48"/>
        <v>710825.2628826712</v>
      </c>
      <c r="N96" s="797">
        <f t="shared" si="48"/>
        <v>55511.326734935297</v>
      </c>
      <c r="O96" s="797">
        <f t="shared" si="48"/>
        <v>0</v>
      </c>
      <c r="P96" s="797">
        <f t="shared" si="48"/>
        <v>0</v>
      </c>
      <c r="Q96" s="480">
        <f t="shared" si="46"/>
        <v>4151217.2785034063</v>
      </c>
      <c r="R96" s="561">
        <f t="shared" si="47"/>
        <v>3315935.2536521126</v>
      </c>
    </row>
    <row r="97" spans="1:18" s="488" customFormat="1">
      <c r="A97" s="478" t="s">
        <v>778</v>
      </c>
      <c r="B97" s="479">
        <f>Backup!O54</f>
        <v>9</v>
      </c>
      <c r="C97" s="480">
        <f>'F1'!O124*10^6</f>
        <v>378531.84000000003</v>
      </c>
      <c r="D97" s="480"/>
      <c r="E97" s="480"/>
      <c r="F97" s="480"/>
      <c r="G97" s="480"/>
      <c r="H97" s="797">
        <f t="shared" si="48"/>
        <v>337422.20400849479</v>
      </c>
      <c r="I97" s="797">
        <f t="shared" si="48"/>
        <v>2164789.660885565</v>
      </c>
      <c r="J97" s="797">
        <f t="shared" si="48"/>
        <v>462146.0888971049</v>
      </c>
      <c r="K97" s="797">
        <f t="shared" si="48"/>
        <v>-22570.90376109643</v>
      </c>
      <c r="L97" s="797">
        <f t="shared" si="48"/>
        <v>30826.123069192116</v>
      </c>
      <c r="M97" s="797">
        <f t="shared" si="48"/>
        <v>635599.64424682222</v>
      </c>
      <c r="N97" s="797">
        <f t="shared" si="48"/>
        <v>43976.783401950503</v>
      </c>
      <c r="O97" s="797">
        <f t="shared" si="48"/>
        <v>-15957.859341237096</v>
      </c>
      <c r="P97" s="797">
        <f t="shared" si="48"/>
        <v>65285.780066899257</v>
      </c>
      <c r="Q97" s="480">
        <f t="shared" si="46"/>
        <v>3701517.5214736955</v>
      </c>
      <c r="R97" s="561">
        <f t="shared" si="47"/>
        <v>2653692.7667472353</v>
      </c>
    </row>
    <row r="98" spans="1:18" s="488" customFormat="1">
      <c r="A98" s="478" t="s">
        <v>779</v>
      </c>
      <c r="B98" s="479">
        <f>Backup!O55</f>
        <v>1</v>
      </c>
      <c r="C98" s="480">
        <f>'F1'!O125*10^6</f>
        <v>6301.5919999999987</v>
      </c>
      <c r="D98" s="480"/>
      <c r="E98" s="480"/>
      <c r="F98" s="480"/>
      <c r="G98" s="480"/>
      <c r="H98" s="797">
        <f t="shared" si="48"/>
        <v>2407.2927753281438</v>
      </c>
      <c r="I98" s="797">
        <f t="shared" si="48"/>
        <v>33458.582185426611</v>
      </c>
      <c r="J98" s="797">
        <f t="shared" si="48"/>
        <v>7142.8388798611568</v>
      </c>
      <c r="K98" s="797">
        <f t="shared" si="48"/>
        <v>0</v>
      </c>
      <c r="L98" s="797">
        <f t="shared" si="48"/>
        <v>-61.069216721482412</v>
      </c>
      <c r="M98" s="797">
        <f t="shared" si="48"/>
        <v>0</v>
      </c>
      <c r="N98" s="797">
        <f t="shared" si="48"/>
        <v>679.70122677423069</v>
      </c>
      <c r="O98" s="797">
        <f t="shared" si="48"/>
        <v>0</v>
      </c>
      <c r="P98" s="797">
        <f t="shared" si="48"/>
        <v>0</v>
      </c>
      <c r="Q98" s="480">
        <f t="shared" si="46"/>
        <v>43627.345850668658</v>
      </c>
      <c r="R98" s="561">
        <f t="shared" si="47"/>
        <v>40601.421065287766</v>
      </c>
    </row>
    <row r="99" spans="1:18" s="488" customFormat="1">
      <c r="A99" s="478" t="s">
        <v>780</v>
      </c>
      <c r="B99" s="479">
        <f>Backup!O56</f>
        <v>29</v>
      </c>
      <c r="C99" s="480">
        <f>'F1'!O126*10^6</f>
        <v>7199971.9308000002</v>
      </c>
      <c r="D99" s="480"/>
      <c r="E99" s="480"/>
      <c r="F99" s="480"/>
      <c r="G99" s="480"/>
      <c r="H99" s="797">
        <f t="shared" ref="H99:P99" si="49">H86*$C$91</f>
        <v>2388921.3304637973</v>
      </c>
      <c r="I99" s="797">
        <f t="shared" si="49"/>
        <v>34820492.341199055</v>
      </c>
      <c r="J99" s="797">
        <f t="shared" si="49"/>
        <v>7433588.2508123117</v>
      </c>
      <c r="K99" s="797">
        <f t="shared" si="49"/>
        <v>-640301.74165174016</v>
      </c>
      <c r="L99" s="797">
        <f t="shared" si="49"/>
        <v>-69893.718537736349</v>
      </c>
      <c r="M99" s="797">
        <f t="shared" si="49"/>
        <v>3607281.0493374676</v>
      </c>
      <c r="N99" s="797">
        <f t="shared" si="49"/>
        <v>707364.65281851729</v>
      </c>
      <c r="O99" s="797">
        <f t="shared" si="49"/>
        <v>-2584923.0237646019</v>
      </c>
      <c r="P99" s="797">
        <f t="shared" si="49"/>
        <v>134117.88249071612</v>
      </c>
      <c r="Q99" s="480">
        <f t="shared" si="46"/>
        <v>45796647.023167789</v>
      </c>
      <c r="R99" s="561">
        <f t="shared" si="47"/>
        <v>39162973.70908574</v>
      </c>
    </row>
    <row r="100" spans="1:18" ht="27.75" customHeight="1">
      <c r="A100" s="492" t="s">
        <v>115</v>
      </c>
      <c r="B100" s="549">
        <f>SUM(B93:B99)</f>
        <v>117</v>
      </c>
      <c r="C100" s="799">
        <f>SUM(C93:C99)</f>
        <v>92841304.259400025</v>
      </c>
      <c r="D100" s="493"/>
      <c r="E100" s="493"/>
      <c r="F100" s="493"/>
      <c r="G100" s="493"/>
      <c r="H100" s="798">
        <f t="shared" ref="H100:R100" si="50">SUM(H93:H99)</f>
        <v>44116131.867076732</v>
      </c>
      <c r="I100" s="493">
        <f t="shared" si="50"/>
        <v>393005783.08097255</v>
      </c>
      <c r="J100" s="493">
        <f t="shared" si="50"/>
        <v>88199239.046430007</v>
      </c>
      <c r="K100" s="493">
        <f t="shared" si="50"/>
        <v>-6659102.4767983817</v>
      </c>
      <c r="L100" s="493">
        <f t="shared" si="50"/>
        <v>-16357.469941939999</v>
      </c>
      <c r="M100" s="493">
        <f t="shared" si="50"/>
        <v>37619153.189002149</v>
      </c>
      <c r="N100" s="493">
        <f t="shared" si="50"/>
        <v>8392854.0130485166</v>
      </c>
      <c r="O100" s="493">
        <f t="shared" si="50"/>
        <v>-23132966.988271177</v>
      </c>
      <c r="P100" s="493">
        <f t="shared" si="50"/>
        <v>697352.17313424195</v>
      </c>
      <c r="Q100" s="493">
        <f t="shared" si="50"/>
        <v>542222086.43465257</v>
      </c>
      <c r="R100" s="493">
        <f t="shared" si="50"/>
        <v>452110304.83546716</v>
      </c>
    </row>
    <row r="101" spans="1:18" ht="27.75" customHeight="1">
      <c r="A101" s="792"/>
      <c r="B101" s="793"/>
      <c r="C101" s="800"/>
      <c r="D101" s="794"/>
      <c r="E101" s="794"/>
      <c r="F101" s="794"/>
      <c r="G101" s="794"/>
      <c r="H101" s="801"/>
      <c r="I101" s="794"/>
      <c r="J101" s="794"/>
      <c r="K101" s="794"/>
      <c r="L101" s="794"/>
      <c r="M101" s="794"/>
      <c r="N101" s="794"/>
      <c r="O101" s="794"/>
      <c r="P101" s="794"/>
      <c r="Q101" s="794"/>
      <c r="R101" s="794"/>
    </row>
    <row r="102" spans="1:18" ht="27.75" customHeight="1">
      <c r="A102" s="571" t="s">
        <v>1007</v>
      </c>
      <c r="B102" s="793"/>
      <c r="C102" s="796">
        <f>C111/C100</f>
        <v>1.0202325145858104</v>
      </c>
      <c r="D102" s="794"/>
      <c r="E102" s="794"/>
      <c r="F102" s="794"/>
      <c r="G102" s="794"/>
      <c r="H102" s="794"/>
      <c r="I102" s="794"/>
      <c r="J102" s="794"/>
      <c r="K102" s="794"/>
      <c r="L102" s="795"/>
      <c r="M102" s="794"/>
      <c r="N102" s="794"/>
      <c r="O102" s="794"/>
      <c r="P102" s="794"/>
      <c r="Q102" s="794"/>
      <c r="R102" s="795"/>
    </row>
    <row r="103" spans="1:18" ht="27.75" customHeight="1">
      <c r="A103" s="489" t="s">
        <v>771</v>
      </c>
      <c r="B103" s="489" t="s">
        <v>772</v>
      </c>
      <c r="C103" s="490" t="s">
        <v>773</v>
      </c>
      <c r="D103" s="490" t="s">
        <v>828</v>
      </c>
      <c r="E103" s="490" t="s">
        <v>829</v>
      </c>
      <c r="F103" s="490" t="s">
        <v>830</v>
      </c>
      <c r="G103" s="490" t="s">
        <v>831</v>
      </c>
      <c r="H103" s="490" t="s">
        <v>832</v>
      </c>
      <c r="I103" s="490" t="s">
        <v>833</v>
      </c>
      <c r="J103" s="490" t="s">
        <v>834</v>
      </c>
      <c r="K103" s="490" t="s">
        <v>835</v>
      </c>
      <c r="L103" s="554" t="s">
        <v>836</v>
      </c>
      <c r="M103" s="490" t="s">
        <v>837</v>
      </c>
      <c r="N103" s="490" t="s">
        <v>838</v>
      </c>
      <c r="O103" s="490" t="s">
        <v>839</v>
      </c>
      <c r="P103" s="490" t="s">
        <v>840</v>
      </c>
      <c r="Q103" s="490" t="s">
        <v>841</v>
      </c>
      <c r="R103" s="554" t="s">
        <v>879</v>
      </c>
    </row>
    <row r="104" spans="1:18">
      <c r="A104" s="478" t="s">
        <v>776</v>
      </c>
      <c r="B104" s="479">
        <f>Backup!O63</f>
        <v>45</v>
      </c>
      <c r="C104" s="480">
        <f>'F1'!O134*10^6</f>
        <v>80414596.838716</v>
      </c>
      <c r="D104" s="480"/>
      <c r="E104" s="480"/>
      <c r="F104" s="480"/>
      <c r="G104" s="480"/>
      <c r="H104" s="797">
        <f>H93*$C$102</f>
        <v>42153118.544841692</v>
      </c>
      <c r="I104" s="797">
        <f t="shared" ref="I104:P104" si="51">I93*$C$102</f>
        <v>360401692.21748608</v>
      </c>
      <c r="J104" s="797">
        <f t="shared" si="51"/>
        <v>81325797.527372554</v>
      </c>
      <c r="K104" s="797">
        <f t="shared" si="51"/>
        <v>-6117548.6389089255</v>
      </c>
      <c r="L104" s="797">
        <f t="shared" si="51"/>
        <v>24524.824059683033</v>
      </c>
      <c r="M104" s="797">
        <f t="shared" si="51"/>
        <v>33326351.370119475</v>
      </c>
      <c r="N104" s="797">
        <f t="shared" si="51"/>
        <v>7738791.6777418396</v>
      </c>
      <c r="O104" s="797">
        <f t="shared" si="51"/>
        <v>-20947501.836765211</v>
      </c>
      <c r="P104" s="797">
        <f t="shared" si="51"/>
        <v>508023.26107985072</v>
      </c>
      <c r="Q104" s="480">
        <f t="shared" ref="Q104:Q110" si="52">SUM(H104:P104)</f>
        <v>498413248.94702697</v>
      </c>
      <c r="R104" s="561">
        <f t="shared" ref="R104:R110" si="53">I104+K104+J104+O104+P104</f>
        <v>415170462.53026432</v>
      </c>
    </row>
    <row r="105" spans="1:18">
      <c r="A105" s="478" t="s">
        <v>850</v>
      </c>
      <c r="B105" s="479">
        <f>Backup!O64</f>
        <v>1</v>
      </c>
      <c r="C105" s="480">
        <f>'F1'!O135*10^6</f>
        <v>6000000</v>
      </c>
      <c r="D105" s="480"/>
      <c r="E105" s="480"/>
      <c r="F105" s="480"/>
      <c r="G105" s="480"/>
      <c r="H105" s="797">
        <f t="shared" ref="H105:P110" si="54">H94*$C$102</f>
        <v>0</v>
      </c>
      <c r="I105" s="797">
        <f t="shared" si="54"/>
        <v>0</v>
      </c>
      <c r="J105" s="797">
        <f t="shared" si="54"/>
        <v>0</v>
      </c>
      <c r="K105" s="797">
        <f t="shared" si="54"/>
        <v>0</v>
      </c>
      <c r="L105" s="797">
        <f t="shared" si="54"/>
        <v>0</v>
      </c>
      <c r="M105" s="797">
        <f t="shared" si="54"/>
        <v>0</v>
      </c>
      <c r="N105" s="797">
        <f t="shared" si="54"/>
        <v>0</v>
      </c>
      <c r="O105" s="797">
        <f t="shared" si="54"/>
        <v>0</v>
      </c>
      <c r="P105" s="797">
        <f t="shared" si="54"/>
        <v>0</v>
      </c>
      <c r="Q105" s="480">
        <f t="shared" si="52"/>
        <v>0</v>
      </c>
      <c r="R105" s="561">
        <f t="shared" si="53"/>
        <v>0</v>
      </c>
    </row>
    <row r="106" spans="1:18">
      <c r="A106" s="478" t="s">
        <v>787</v>
      </c>
      <c r="B106" s="479">
        <f>Backup!O66</f>
        <v>0</v>
      </c>
      <c r="C106" s="480">
        <f>'F1'!O137*10^6</f>
        <v>0</v>
      </c>
      <c r="D106" s="480"/>
      <c r="E106" s="480"/>
      <c r="F106" s="480"/>
      <c r="G106" s="480"/>
      <c r="H106" s="797">
        <f t="shared" si="54"/>
        <v>0</v>
      </c>
      <c r="I106" s="797">
        <f t="shared" si="54"/>
        <v>0</v>
      </c>
      <c r="J106" s="797">
        <f t="shared" si="54"/>
        <v>0</v>
      </c>
      <c r="K106" s="797">
        <f t="shared" si="54"/>
        <v>0</v>
      </c>
      <c r="L106" s="797">
        <f t="shared" si="54"/>
        <v>0</v>
      </c>
      <c r="M106" s="797">
        <f t="shared" si="54"/>
        <v>0</v>
      </c>
      <c r="N106" s="797">
        <f t="shared" si="54"/>
        <v>0</v>
      </c>
      <c r="O106" s="797">
        <f t="shared" si="54"/>
        <v>0</v>
      </c>
      <c r="P106" s="797">
        <f t="shared" si="54"/>
        <v>0</v>
      </c>
      <c r="Q106" s="480">
        <f t="shared" si="52"/>
        <v>0</v>
      </c>
      <c r="R106" s="561">
        <f t="shared" si="53"/>
        <v>0</v>
      </c>
    </row>
    <row r="107" spans="1:18">
      <c r="A107" s="478" t="s">
        <v>777</v>
      </c>
      <c r="B107" s="479">
        <f>Backup!O67</f>
        <v>32</v>
      </c>
      <c r="C107" s="480">
        <f>'F1'!O138*10^6</f>
        <v>644467.04685000004</v>
      </c>
      <c r="D107" s="480"/>
      <c r="E107" s="480"/>
      <c r="F107" s="480"/>
      <c r="G107" s="480"/>
      <c r="H107" s="797">
        <f t="shared" si="54"/>
        <v>71633.285544254191</v>
      </c>
      <c r="I107" s="797">
        <f t="shared" si="54"/>
        <v>2787863.308890461</v>
      </c>
      <c r="J107" s="797">
        <f t="shared" si="54"/>
        <v>595161.65314677067</v>
      </c>
      <c r="K107" s="797">
        <f t="shared" si="54"/>
        <v>0</v>
      </c>
      <c r="L107" s="797">
        <f t="shared" si="54"/>
        <v>-1292.9107865766498</v>
      </c>
      <c r="M107" s="797">
        <f t="shared" si="54"/>
        <v>725207.04538190737</v>
      </c>
      <c r="N107" s="797">
        <f t="shared" si="54"/>
        <v>56634.460462777562</v>
      </c>
      <c r="O107" s="797">
        <f t="shared" si="54"/>
        <v>0</v>
      </c>
      <c r="P107" s="797">
        <f t="shared" si="54"/>
        <v>0</v>
      </c>
      <c r="Q107" s="480">
        <f t="shared" si="52"/>
        <v>4235206.8426395943</v>
      </c>
      <c r="R107" s="561">
        <f t="shared" si="53"/>
        <v>3383024.9620372318</v>
      </c>
    </row>
    <row r="108" spans="1:18">
      <c r="A108" s="478" t="s">
        <v>778</v>
      </c>
      <c r="B108" s="479">
        <f>Backup!O68</f>
        <v>9</v>
      </c>
      <c r="C108" s="480">
        <f>'F1'!O139*10^6</f>
        <v>382317.15840000001</v>
      </c>
      <c r="D108" s="480"/>
      <c r="E108" s="480"/>
      <c r="F108" s="480"/>
      <c r="G108" s="480"/>
      <c r="H108" s="797">
        <f t="shared" si="54"/>
        <v>344249.10367267299</v>
      </c>
      <c r="I108" s="797">
        <f t="shared" si="54"/>
        <v>2208588.7992746439</v>
      </c>
      <c r="J108" s="797">
        <f t="shared" si="54"/>
        <v>471496.46638149081</v>
      </c>
      <c r="K108" s="797">
        <f t="shared" si="54"/>
        <v>-23027.569900657738</v>
      </c>
      <c r="L108" s="797">
        <f t="shared" si="54"/>
        <v>31449.813053813534</v>
      </c>
      <c r="M108" s="797">
        <f t="shared" si="54"/>
        <v>648459.42331978201</v>
      </c>
      <c r="N108" s="797">
        <f t="shared" si="54"/>
        <v>44866.544313567494</v>
      </c>
      <c r="O108" s="797">
        <f t="shared" si="54"/>
        <v>-16280.726963116986</v>
      </c>
      <c r="P108" s="797">
        <f t="shared" si="54"/>
        <v>66606.675564348814</v>
      </c>
      <c r="Q108" s="480">
        <f t="shared" si="52"/>
        <v>3776408.5287165456</v>
      </c>
      <c r="R108" s="561">
        <f t="shared" si="53"/>
        <v>2707383.644356709</v>
      </c>
    </row>
    <row r="109" spans="1:18">
      <c r="A109" s="478" t="s">
        <v>779</v>
      </c>
      <c r="B109" s="479">
        <f>Backup!O69</f>
        <v>1</v>
      </c>
      <c r="C109" s="480">
        <f>'F1'!O140*10^6</f>
        <v>6364.6079200000004</v>
      </c>
      <c r="D109" s="480"/>
      <c r="E109" s="480"/>
      <c r="F109" s="480"/>
      <c r="G109" s="480"/>
      <c r="H109" s="797">
        <f t="shared" si="54"/>
        <v>2455.9983615172864</v>
      </c>
      <c r="I109" s="797">
        <f t="shared" si="54"/>
        <v>34135.53343751379</v>
      </c>
      <c r="J109" s="797">
        <f t="shared" si="54"/>
        <v>7287.356471682042</v>
      </c>
      <c r="K109" s="797">
        <f t="shared" si="54"/>
        <v>0</v>
      </c>
      <c r="L109" s="797">
        <f t="shared" si="54"/>
        <v>-62.304800539543827</v>
      </c>
      <c r="M109" s="797">
        <f t="shared" si="54"/>
        <v>0</v>
      </c>
      <c r="N109" s="797">
        <f t="shared" si="54"/>
        <v>693.45329175893357</v>
      </c>
      <c r="O109" s="797">
        <f t="shared" si="54"/>
        <v>0</v>
      </c>
      <c r="P109" s="797">
        <f t="shared" si="54"/>
        <v>0</v>
      </c>
      <c r="Q109" s="480">
        <f t="shared" si="52"/>
        <v>44510.036761932504</v>
      </c>
      <c r="R109" s="561">
        <f t="shared" si="53"/>
        <v>41422.88990919583</v>
      </c>
    </row>
    <row r="110" spans="1:18">
      <c r="A110" s="802" t="s">
        <v>780</v>
      </c>
      <c r="B110" s="479">
        <f>Backup!O70</f>
        <v>29</v>
      </c>
      <c r="C110" s="480">
        <f>'F1'!O141*10^6</f>
        <v>7271971.6501080003</v>
      </c>
      <c r="D110" s="803"/>
      <c r="E110" s="803"/>
      <c r="F110" s="803"/>
      <c r="G110" s="803"/>
      <c r="H110" s="797">
        <f t="shared" si="54"/>
        <v>2437255.2161267595</v>
      </c>
      <c r="I110" s="797">
        <f t="shared" si="54"/>
        <v>35524998.460377462</v>
      </c>
      <c r="J110" s="797">
        <f t="shared" si="54"/>
        <v>7583988.4335217811</v>
      </c>
      <c r="K110" s="797">
        <f t="shared" si="54"/>
        <v>-653256.65597902879</v>
      </c>
      <c r="L110" s="797">
        <f t="shared" si="54"/>
        <v>-71307.844217507634</v>
      </c>
      <c r="M110" s="797">
        <f t="shared" si="54"/>
        <v>3680265.4157833057</v>
      </c>
      <c r="N110" s="797">
        <f t="shared" si="54"/>
        <v>721676.41847415466</v>
      </c>
      <c r="O110" s="797">
        <f t="shared" si="54"/>
        <v>-2637222.5165461162</v>
      </c>
      <c r="P110" s="797">
        <f t="shared" si="54"/>
        <v>136831.42450442753</v>
      </c>
      <c r="Q110" s="480">
        <f t="shared" si="52"/>
        <v>46723228.352045238</v>
      </c>
      <c r="R110" s="561">
        <f t="shared" si="53"/>
        <v>39955339.145878524</v>
      </c>
    </row>
    <row r="111" spans="1:18" ht="15">
      <c r="A111" s="650" t="s">
        <v>115</v>
      </c>
      <c r="B111" s="804">
        <f t="shared" ref="B111:Q111" si="55">SUM(B104:B110)</f>
        <v>117</v>
      </c>
      <c r="C111" s="804">
        <f t="shared" si="55"/>
        <v>94719717.301993996</v>
      </c>
      <c r="D111" s="804">
        <f t="shared" si="55"/>
        <v>0</v>
      </c>
      <c r="E111" s="804">
        <f t="shared" si="55"/>
        <v>0</v>
      </c>
      <c r="F111" s="804">
        <f t="shared" si="55"/>
        <v>0</v>
      </c>
      <c r="G111" s="804">
        <f t="shared" si="55"/>
        <v>0</v>
      </c>
      <c r="H111" s="804">
        <f t="shared" si="55"/>
        <v>45008712.148546904</v>
      </c>
      <c r="I111" s="804">
        <f t="shared" si="55"/>
        <v>400957278.31946611</v>
      </c>
      <c r="J111" s="804">
        <f t="shared" si="55"/>
        <v>89983731.436894283</v>
      </c>
      <c r="K111" s="804">
        <f t="shared" si="55"/>
        <v>-6793832.8647886124</v>
      </c>
      <c r="L111" s="804">
        <f t="shared" si="55"/>
        <v>-16688.422691127264</v>
      </c>
      <c r="M111" s="804">
        <f t="shared" si="55"/>
        <v>38380283.254604474</v>
      </c>
      <c r="N111" s="804">
        <f t="shared" si="55"/>
        <v>8562662.5542840995</v>
      </c>
      <c r="O111" s="804">
        <f t="shared" si="55"/>
        <v>-23601005.080274444</v>
      </c>
      <c r="P111" s="804">
        <f t="shared" si="55"/>
        <v>711461.36114862701</v>
      </c>
      <c r="Q111" s="804">
        <f t="shared" si="55"/>
        <v>553192602.70719028</v>
      </c>
      <c r="R111" s="804">
        <f>SUM(R104:R110)</f>
        <v>461257633.17244601</v>
      </c>
    </row>
    <row r="112" spans="1:18" ht="15">
      <c r="A112" s="492" t="s">
        <v>115</v>
      </c>
      <c r="B112" s="549">
        <f>SUM(B104:B110)</f>
        <v>117</v>
      </c>
      <c r="C112" s="799">
        <f>SUM(C104:C110)</f>
        <v>94719717.301993996</v>
      </c>
      <c r="D112" s="493"/>
      <c r="E112" s="493"/>
      <c r="F112" s="493"/>
      <c r="G112" s="493"/>
      <c r="H112" s="798">
        <f t="shared" ref="H112:Q112" si="56">SUM(H104:H110)</f>
        <v>45008712.148546904</v>
      </c>
      <c r="I112" s="493">
        <f t="shared" si="56"/>
        <v>400957278.31946611</v>
      </c>
      <c r="J112" s="493">
        <f t="shared" si="56"/>
        <v>89983731.436894283</v>
      </c>
      <c r="K112" s="493">
        <f t="shared" si="56"/>
        <v>-6793832.8647886124</v>
      </c>
      <c r="L112" s="493">
        <f t="shared" si="56"/>
        <v>-16688.422691127264</v>
      </c>
      <c r="M112" s="493">
        <f t="shared" si="56"/>
        <v>38380283.254604474</v>
      </c>
      <c r="N112" s="493">
        <f t="shared" si="56"/>
        <v>8562662.5542840995</v>
      </c>
      <c r="O112" s="493">
        <f t="shared" si="56"/>
        <v>-23601005.080274444</v>
      </c>
      <c r="P112" s="493">
        <f t="shared" si="56"/>
        <v>711461.36114862701</v>
      </c>
      <c r="Q112" s="493">
        <f t="shared" si="56"/>
        <v>553192602.70719028</v>
      </c>
      <c r="R112" s="493">
        <f>SUM(R104:R111)</f>
        <v>922515266.34489202</v>
      </c>
    </row>
    <row r="113" spans="1:18" ht="15">
      <c r="A113" s="792"/>
      <c r="B113" s="793"/>
      <c r="C113" s="800"/>
      <c r="D113" s="794"/>
      <c r="E113" s="794"/>
      <c r="F113" s="794"/>
      <c r="G113" s="794"/>
      <c r="H113" s="801"/>
      <c r="I113" s="794"/>
      <c r="J113" s="794"/>
      <c r="K113" s="794"/>
      <c r="L113" s="794"/>
      <c r="M113" s="794"/>
      <c r="N113" s="794"/>
      <c r="O113" s="794"/>
      <c r="P113" s="794"/>
      <c r="Q113" s="794"/>
      <c r="R113" s="794"/>
    </row>
    <row r="114" spans="1:18" ht="15">
      <c r="A114" s="876">
        <v>42461</v>
      </c>
      <c r="B114" s="793"/>
      <c r="C114" s="800"/>
      <c r="D114" s="794"/>
      <c r="E114" s="794"/>
      <c r="F114" s="794"/>
      <c r="G114" s="794"/>
      <c r="H114" s="801"/>
      <c r="I114" s="794"/>
      <c r="J114" s="794"/>
      <c r="K114" s="794"/>
      <c r="L114" s="794"/>
      <c r="M114" s="794"/>
      <c r="N114" s="794"/>
      <c r="O114" s="794"/>
      <c r="P114" s="794"/>
      <c r="Q114" s="794"/>
      <c r="R114" s="794"/>
    </row>
    <row r="115" spans="1:18" ht="30">
      <c r="A115" s="476" t="s">
        <v>771</v>
      </c>
      <c r="B115" s="476" t="s">
        <v>772</v>
      </c>
      <c r="C115" s="476" t="s">
        <v>773</v>
      </c>
      <c r="D115" s="476" t="s">
        <v>828</v>
      </c>
      <c r="E115" s="476" t="s">
        <v>829</v>
      </c>
      <c r="F115" s="476" t="s">
        <v>830</v>
      </c>
      <c r="G115" s="476" t="s">
        <v>831</v>
      </c>
      <c r="H115" s="476" t="s">
        <v>832</v>
      </c>
      <c r="I115" s="476" t="s">
        <v>833</v>
      </c>
      <c r="J115" s="476" t="s">
        <v>834</v>
      </c>
      <c r="K115" s="476" t="s">
        <v>835</v>
      </c>
      <c r="L115" s="476" t="s">
        <v>837</v>
      </c>
      <c r="M115" s="476" t="s">
        <v>838</v>
      </c>
      <c r="N115" s="476" t="s">
        <v>847</v>
      </c>
      <c r="O115" s="476" t="s">
        <v>840</v>
      </c>
      <c r="P115" s="476" t="s">
        <v>841</v>
      </c>
      <c r="Q115" s="794"/>
      <c r="R115" s="794"/>
    </row>
    <row r="116" spans="1:18" ht="15">
      <c r="A116" s="504" t="s">
        <v>769</v>
      </c>
      <c r="B116" s="496">
        <v>43</v>
      </c>
      <c r="C116" s="496">
        <v>6706512</v>
      </c>
      <c r="D116" s="496"/>
      <c r="E116" s="496">
        <v>25980</v>
      </c>
      <c r="F116" s="496">
        <v>16764.240000000002</v>
      </c>
      <c r="G116" s="496">
        <v>18092</v>
      </c>
      <c r="H116" s="497">
        <v>3437480</v>
      </c>
      <c r="I116" s="497">
        <v>47012649.119999997</v>
      </c>
      <c r="J116" s="496"/>
      <c r="K116" s="497">
        <v>-460180.22</v>
      </c>
      <c r="L116" s="497">
        <v>3955104.4400000004</v>
      </c>
      <c r="M116" s="497">
        <v>606268.71000000008</v>
      </c>
      <c r="N116" s="497">
        <v>-2155842.2299999995</v>
      </c>
      <c r="O116" s="497">
        <v>41518.800000000003</v>
      </c>
      <c r="P116" s="497">
        <v>52436998.61999999</v>
      </c>
      <c r="Q116" s="794"/>
      <c r="R116" s="794"/>
    </row>
    <row r="117" spans="1:18" ht="15">
      <c r="A117" s="504" t="s">
        <v>765</v>
      </c>
      <c r="B117" s="496">
        <v>8</v>
      </c>
      <c r="C117" s="496">
        <v>10271.5</v>
      </c>
      <c r="D117" s="496"/>
      <c r="E117" s="496">
        <v>0</v>
      </c>
      <c r="F117" s="496">
        <v>0</v>
      </c>
      <c r="G117" s="496">
        <v>0</v>
      </c>
      <c r="H117" s="497">
        <v>1520</v>
      </c>
      <c r="I117" s="497">
        <v>82354.550000000017</v>
      </c>
      <c r="J117" s="496"/>
      <c r="K117" s="497">
        <v>0</v>
      </c>
      <c r="L117" s="497">
        <v>17613.650000000001</v>
      </c>
      <c r="M117" s="497">
        <v>928.53999999999985</v>
      </c>
      <c r="N117" s="497">
        <v>0</v>
      </c>
      <c r="O117" s="497">
        <v>0</v>
      </c>
      <c r="P117" s="497">
        <v>102416.73999999999</v>
      </c>
      <c r="Q117" s="794"/>
      <c r="R117" s="794"/>
    </row>
    <row r="118" spans="1:18" ht="15">
      <c r="A118" s="504" t="s">
        <v>766</v>
      </c>
      <c r="B118" s="496">
        <v>8</v>
      </c>
      <c r="C118" s="496">
        <v>26453.7</v>
      </c>
      <c r="D118" s="496"/>
      <c r="E118" s="496">
        <v>315</v>
      </c>
      <c r="F118" s="496">
        <v>131.55000000000001</v>
      </c>
      <c r="G118" s="496">
        <v>136</v>
      </c>
      <c r="H118" s="497">
        <v>25840</v>
      </c>
      <c r="I118" s="497">
        <v>223269.23</v>
      </c>
      <c r="J118" s="496"/>
      <c r="K118" s="497">
        <v>481.57999999999993</v>
      </c>
      <c r="L118" s="497">
        <v>52560.09</v>
      </c>
      <c r="M118" s="497">
        <v>2391.4100000000008</v>
      </c>
      <c r="N118" s="497">
        <v>4481.4399999999996</v>
      </c>
      <c r="O118" s="497">
        <v>695.4</v>
      </c>
      <c r="P118" s="497">
        <v>309719.15000000002</v>
      </c>
      <c r="Q118" s="794"/>
      <c r="R118" s="794"/>
    </row>
    <row r="119" spans="1:18" ht="15">
      <c r="A119" s="504" t="s">
        <v>774</v>
      </c>
      <c r="B119" s="496">
        <v>17</v>
      </c>
      <c r="C119" s="496">
        <v>28980.799999999999</v>
      </c>
      <c r="D119" s="496"/>
      <c r="E119" s="496">
        <v>0</v>
      </c>
      <c r="F119" s="496">
        <v>0</v>
      </c>
      <c r="G119" s="496">
        <v>0</v>
      </c>
      <c r="H119" s="497">
        <v>3230</v>
      </c>
      <c r="I119" s="497">
        <v>146642.84999999998</v>
      </c>
      <c r="J119" s="496"/>
      <c r="K119" s="497">
        <v>0</v>
      </c>
      <c r="L119" s="497">
        <v>13938.18</v>
      </c>
      <c r="M119" s="497">
        <v>2619.8700000000003</v>
      </c>
      <c r="N119" s="497">
        <v>0</v>
      </c>
      <c r="O119" s="497">
        <v>0</v>
      </c>
      <c r="P119" s="497">
        <v>166430.9</v>
      </c>
      <c r="Q119" s="794"/>
      <c r="R119" s="794"/>
    </row>
    <row r="120" spans="1:18" ht="15">
      <c r="A120" s="504" t="s">
        <v>775</v>
      </c>
      <c r="B120" s="496">
        <v>29</v>
      </c>
      <c r="C120" s="496">
        <v>606479</v>
      </c>
      <c r="D120" s="496"/>
      <c r="E120" s="496">
        <v>2732</v>
      </c>
      <c r="F120" s="496">
        <v>1631.0600000000002</v>
      </c>
      <c r="G120" s="496">
        <v>1252</v>
      </c>
      <c r="H120" s="497">
        <v>187800</v>
      </c>
      <c r="I120" s="497">
        <v>4233223.419999999</v>
      </c>
      <c r="J120" s="496"/>
      <c r="K120" s="497">
        <v>-52717.479999999996</v>
      </c>
      <c r="L120" s="497">
        <v>213549.20999999996</v>
      </c>
      <c r="M120" s="497">
        <v>54825.680000000008</v>
      </c>
      <c r="N120" s="497">
        <v>-239926.88999999996</v>
      </c>
      <c r="O120" s="497">
        <v>10116</v>
      </c>
      <c r="P120" s="497">
        <v>4406869.9400000013</v>
      </c>
      <c r="Q120" s="794"/>
      <c r="R120" s="794"/>
    </row>
    <row r="121" spans="1:18" ht="15">
      <c r="A121" s="505" t="s">
        <v>115</v>
      </c>
      <c r="B121" s="506">
        <v>105</v>
      </c>
      <c r="C121" s="506">
        <v>7378697</v>
      </c>
      <c r="D121" s="499"/>
      <c r="E121" s="506">
        <v>29027</v>
      </c>
      <c r="F121" s="506">
        <v>18526.849999999995</v>
      </c>
      <c r="G121" s="506">
        <v>19480</v>
      </c>
      <c r="H121" s="507">
        <v>3655870</v>
      </c>
      <c r="I121" s="507">
        <v>51698139.169999987</v>
      </c>
      <c r="J121" s="499"/>
      <c r="K121" s="507">
        <v>-512416.12000000005</v>
      </c>
      <c r="L121" s="507">
        <v>4252765.5700000022</v>
      </c>
      <c r="M121" s="507">
        <v>667034.21000000066</v>
      </c>
      <c r="N121" s="507">
        <v>-2391287.6799999992</v>
      </c>
      <c r="O121" s="507">
        <v>52330.200000000004</v>
      </c>
      <c r="P121" s="507">
        <v>57422435.349999964</v>
      </c>
      <c r="Q121" s="794"/>
      <c r="R121" s="794"/>
    </row>
    <row r="122" spans="1:18" ht="15">
      <c r="A122" s="508"/>
      <c r="B122" s="509"/>
      <c r="C122" s="509"/>
      <c r="D122" s="877"/>
      <c r="E122" s="509"/>
      <c r="F122" s="509"/>
      <c r="G122" s="509"/>
      <c r="H122" s="878"/>
      <c r="I122" s="878"/>
      <c r="J122" s="877"/>
      <c r="K122" s="878"/>
      <c r="L122" s="878"/>
      <c r="M122" s="878"/>
      <c r="N122" s="878"/>
      <c r="O122" s="878"/>
      <c r="P122" s="878"/>
      <c r="Q122" s="794"/>
      <c r="R122" s="794"/>
    </row>
    <row r="123" spans="1:18">
      <c r="A123" s="462">
        <v>42491</v>
      </c>
    </row>
    <row r="124" spans="1:18" ht="30">
      <c r="A124" s="476" t="s">
        <v>846</v>
      </c>
      <c r="B124" s="476" t="s">
        <v>772</v>
      </c>
      <c r="C124" s="476" t="s">
        <v>773</v>
      </c>
      <c r="D124" s="476" t="s">
        <v>828</v>
      </c>
      <c r="E124" s="476" t="s">
        <v>829</v>
      </c>
      <c r="F124" s="476" t="s">
        <v>830</v>
      </c>
      <c r="G124" s="476" t="s">
        <v>831</v>
      </c>
      <c r="H124" s="476" t="s">
        <v>832</v>
      </c>
      <c r="I124" s="476" t="s">
        <v>833</v>
      </c>
      <c r="J124" s="476" t="s">
        <v>834</v>
      </c>
      <c r="K124" s="476" t="s">
        <v>835</v>
      </c>
      <c r="L124" s="476" t="s">
        <v>837</v>
      </c>
      <c r="M124" s="476" t="s">
        <v>838</v>
      </c>
      <c r="N124" s="476" t="s">
        <v>839</v>
      </c>
      <c r="O124" s="476" t="s">
        <v>840</v>
      </c>
      <c r="P124" s="476" t="s">
        <v>841</v>
      </c>
    </row>
    <row r="125" spans="1:18">
      <c r="A125" s="504" t="s">
        <v>769</v>
      </c>
      <c r="B125" s="496">
        <v>43</v>
      </c>
      <c r="C125" s="496">
        <v>7268142</v>
      </c>
      <c r="D125" s="496"/>
      <c r="E125" s="496">
        <v>25980</v>
      </c>
      <c r="F125" s="496">
        <v>17014.12</v>
      </c>
      <c r="G125" s="496">
        <v>18474</v>
      </c>
      <c r="H125" s="496">
        <v>3510060</v>
      </c>
      <c r="I125" s="496">
        <v>50949675.419999994</v>
      </c>
      <c r="J125" s="496"/>
      <c r="K125" s="496">
        <v>-491317</v>
      </c>
      <c r="L125" s="496">
        <v>4270319.2600000007</v>
      </c>
      <c r="M125" s="496">
        <v>657040.04999999993</v>
      </c>
      <c r="N125" s="496">
        <v>-2304677.39</v>
      </c>
      <c r="O125" s="496">
        <v>76562.399999999994</v>
      </c>
      <c r="P125" s="496">
        <v>56667662.74000001</v>
      </c>
    </row>
    <row r="126" spans="1:18">
      <c r="A126" s="504" t="s">
        <v>765</v>
      </c>
      <c r="B126" s="496">
        <v>8</v>
      </c>
      <c r="C126" s="496">
        <v>10396</v>
      </c>
      <c r="D126" s="496"/>
      <c r="E126" s="496">
        <v>0</v>
      </c>
      <c r="F126" s="496">
        <v>0</v>
      </c>
      <c r="G126" s="496">
        <v>0</v>
      </c>
      <c r="H126" s="496">
        <v>1520</v>
      </c>
      <c r="I126" s="496">
        <v>83372.560000000012</v>
      </c>
      <c r="J126" s="496"/>
      <c r="K126" s="496">
        <v>0</v>
      </c>
      <c r="L126" s="496">
        <v>17827.430000000004</v>
      </c>
      <c r="M126" s="496">
        <v>939.8</v>
      </c>
      <c r="N126" s="496">
        <v>0</v>
      </c>
      <c r="O126" s="496">
        <v>0</v>
      </c>
      <c r="P126" s="496">
        <v>103659.79</v>
      </c>
    </row>
    <row r="127" spans="1:18">
      <c r="A127" s="504" t="s">
        <v>766</v>
      </c>
      <c r="B127" s="496">
        <v>7</v>
      </c>
      <c r="C127" s="496">
        <v>27427.3</v>
      </c>
      <c r="D127" s="496"/>
      <c r="E127" s="496">
        <v>265</v>
      </c>
      <c r="F127" s="496">
        <v>128.1</v>
      </c>
      <c r="G127" s="496">
        <v>116</v>
      </c>
      <c r="H127" s="496">
        <v>22040</v>
      </c>
      <c r="I127" s="496">
        <v>231486.40999999997</v>
      </c>
      <c r="J127" s="496"/>
      <c r="K127" s="496">
        <v>790.49</v>
      </c>
      <c r="L127" s="496">
        <v>53502.3</v>
      </c>
      <c r="M127" s="496">
        <v>2479.4299999999994</v>
      </c>
      <c r="N127" s="496">
        <v>-2502.7999999999993</v>
      </c>
      <c r="O127" s="496">
        <v>456</v>
      </c>
      <c r="P127" s="496">
        <v>308251.82999999996</v>
      </c>
    </row>
    <row r="128" spans="1:18">
      <c r="A128" s="504" t="s">
        <v>774</v>
      </c>
      <c r="B128" s="496">
        <v>17</v>
      </c>
      <c r="C128" s="496">
        <v>32345.300000000003</v>
      </c>
      <c r="D128" s="496"/>
      <c r="E128" s="496">
        <v>0</v>
      </c>
      <c r="F128" s="496">
        <v>0</v>
      </c>
      <c r="G128" s="496">
        <v>0</v>
      </c>
      <c r="H128" s="496">
        <v>3230</v>
      </c>
      <c r="I128" s="496">
        <v>163667.22000000003</v>
      </c>
      <c r="J128" s="496"/>
      <c r="K128" s="496">
        <v>0</v>
      </c>
      <c r="L128" s="496">
        <v>15521.45</v>
      </c>
      <c r="M128" s="496">
        <v>2924.0200000000004</v>
      </c>
      <c r="N128" s="496">
        <v>0</v>
      </c>
      <c r="O128" s="496">
        <v>0</v>
      </c>
      <c r="P128" s="496">
        <v>185342.69000000003</v>
      </c>
    </row>
    <row r="129" spans="1:16">
      <c r="A129" s="504" t="s">
        <v>775</v>
      </c>
      <c r="B129" s="496">
        <v>29</v>
      </c>
      <c r="C129" s="496">
        <v>627725</v>
      </c>
      <c r="D129" s="496"/>
      <c r="E129" s="496">
        <v>2732</v>
      </c>
      <c r="F129" s="496">
        <v>1730.2399999999996</v>
      </c>
      <c r="G129" s="496">
        <v>1312</v>
      </c>
      <c r="H129" s="496">
        <v>196800</v>
      </c>
      <c r="I129" s="496">
        <v>4381520.5000000009</v>
      </c>
      <c r="J129" s="496"/>
      <c r="K129" s="496">
        <v>-51533.14</v>
      </c>
      <c r="L129" s="496">
        <v>219346.16</v>
      </c>
      <c r="M129" s="496">
        <v>56746.360000000015</v>
      </c>
      <c r="N129" s="496">
        <v>-261776.66999999998</v>
      </c>
      <c r="O129" s="496">
        <v>18801</v>
      </c>
      <c r="P129" s="496">
        <v>4559904.21</v>
      </c>
    </row>
    <row r="130" spans="1:16" ht="15">
      <c r="A130" s="499"/>
      <c r="B130" s="499">
        <v>104</v>
      </c>
      <c r="C130" s="499">
        <v>7966035.5999999996</v>
      </c>
      <c r="D130" s="499"/>
      <c r="E130" s="499">
        <v>28977</v>
      </c>
      <c r="F130" s="499">
        <v>18872.459999999992</v>
      </c>
      <c r="G130" s="499">
        <v>19902</v>
      </c>
      <c r="H130" s="499">
        <v>3733650</v>
      </c>
      <c r="I130" s="499">
        <v>55809722.109999985</v>
      </c>
      <c r="J130" s="499"/>
      <c r="K130" s="499">
        <v>-542059.65</v>
      </c>
      <c r="L130" s="499">
        <v>4576516.5999999987</v>
      </c>
      <c r="M130" s="499">
        <v>720129.6599999998</v>
      </c>
      <c r="N130" s="499">
        <v>-2568956.8600000017</v>
      </c>
      <c r="O130" s="499">
        <v>95819.4</v>
      </c>
      <c r="P130" s="499">
        <v>61824821.26000002</v>
      </c>
    </row>
    <row r="132" spans="1:16">
      <c r="A132" s="462">
        <v>42522</v>
      </c>
    </row>
    <row r="133" spans="1:16" ht="30">
      <c r="A133" s="476" t="s">
        <v>771</v>
      </c>
      <c r="B133" s="476" t="s">
        <v>772</v>
      </c>
      <c r="C133" s="476" t="s">
        <v>773</v>
      </c>
      <c r="D133" s="476" t="s">
        <v>828</v>
      </c>
      <c r="E133" s="476" t="s">
        <v>829</v>
      </c>
      <c r="F133" s="476" t="s">
        <v>830</v>
      </c>
      <c r="G133" s="476" t="s">
        <v>831</v>
      </c>
      <c r="H133" s="476" t="s">
        <v>832</v>
      </c>
      <c r="I133" s="476" t="s">
        <v>833</v>
      </c>
      <c r="J133" s="476" t="s">
        <v>834</v>
      </c>
      <c r="K133" s="476" t="s">
        <v>835</v>
      </c>
      <c r="L133" s="476" t="s">
        <v>837</v>
      </c>
      <c r="M133" s="476" t="s">
        <v>838</v>
      </c>
      <c r="N133" s="476" t="s">
        <v>839</v>
      </c>
      <c r="O133" s="476" t="s">
        <v>840</v>
      </c>
      <c r="P133" s="476" t="s">
        <v>841</v>
      </c>
    </row>
    <row r="134" spans="1:16">
      <c r="A134" s="503" t="s">
        <v>769</v>
      </c>
      <c r="B134" s="496">
        <v>43</v>
      </c>
      <c r="C134" s="496">
        <v>6860009</v>
      </c>
      <c r="D134" s="496"/>
      <c r="E134" s="496">
        <v>25980</v>
      </c>
      <c r="F134" s="496">
        <v>16354.8</v>
      </c>
      <c r="G134" s="496">
        <v>18171</v>
      </c>
      <c r="H134" s="497">
        <v>3452490</v>
      </c>
      <c r="I134" s="497">
        <v>48088663.089999989</v>
      </c>
      <c r="J134" s="496"/>
      <c r="K134" s="497">
        <v>-492350.62000000005</v>
      </c>
      <c r="L134" s="497">
        <v>3654100.5499999984</v>
      </c>
      <c r="M134" s="497">
        <v>620144.78</v>
      </c>
      <c r="N134" s="497">
        <v>-2154482.87</v>
      </c>
      <c r="O134" s="497">
        <v>71181.600000000006</v>
      </c>
      <c r="P134" s="497">
        <v>53239746.530000009</v>
      </c>
    </row>
    <row r="135" spans="1:16">
      <c r="A135" s="503" t="s">
        <v>765</v>
      </c>
      <c r="B135" s="496">
        <v>8</v>
      </c>
      <c r="C135" s="496">
        <v>10264.199999999999</v>
      </c>
      <c r="D135" s="496"/>
      <c r="E135" s="496">
        <v>0</v>
      </c>
      <c r="F135" s="496">
        <v>0</v>
      </c>
      <c r="G135" s="496">
        <v>0</v>
      </c>
      <c r="H135" s="497">
        <v>1520</v>
      </c>
      <c r="I135" s="497">
        <v>82306.280000000013</v>
      </c>
      <c r="J135" s="496"/>
      <c r="K135" s="497">
        <v>0</v>
      </c>
      <c r="L135" s="497">
        <v>17603.500000000004</v>
      </c>
      <c r="M135" s="497">
        <v>927.87000000000012</v>
      </c>
      <c r="N135" s="497">
        <v>0</v>
      </c>
      <c r="O135" s="497">
        <v>0</v>
      </c>
      <c r="P135" s="497">
        <v>102357.65000000001</v>
      </c>
    </row>
    <row r="136" spans="1:16">
      <c r="A136" s="503" t="s">
        <v>766</v>
      </c>
      <c r="B136" s="496">
        <v>7</v>
      </c>
      <c r="C136" s="496">
        <v>26085.8</v>
      </c>
      <c r="D136" s="496"/>
      <c r="E136" s="496">
        <v>265</v>
      </c>
      <c r="F136" s="496">
        <v>124.41999999999999</v>
      </c>
      <c r="G136" s="496">
        <v>116</v>
      </c>
      <c r="H136" s="497">
        <v>22040</v>
      </c>
      <c r="I136" s="497">
        <v>220164.15</v>
      </c>
      <c r="J136" s="496"/>
      <c r="K136" s="497">
        <v>749.31</v>
      </c>
      <c r="L136" s="497">
        <v>51144.710000000006</v>
      </c>
      <c r="M136" s="497">
        <v>2358.16</v>
      </c>
      <c r="N136" s="497">
        <v>150.62000000000035</v>
      </c>
      <c r="O136" s="497">
        <v>592.79999999999995</v>
      </c>
      <c r="P136" s="497">
        <v>297199.75</v>
      </c>
    </row>
    <row r="137" spans="1:16">
      <c r="A137" s="503" t="s">
        <v>774</v>
      </c>
      <c r="B137" s="496">
        <v>17</v>
      </c>
      <c r="C137" s="496">
        <v>30071.899999999998</v>
      </c>
      <c r="D137" s="496"/>
      <c r="E137" s="496">
        <v>0</v>
      </c>
      <c r="F137" s="496">
        <v>0</v>
      </c>
      <c r="G137" s="496">
        <v>0</v>
      </c>
      <c r="H137" s="497">
        <v>3230</v>
      </c>
      <c r="I137" s="497">
        <v>152163.83000000002</v>
      </c>
      <c r="J137" s="496"/>
      <c r="K137" s="497">
        <v>0</v>
      </c>
      <c r="L137" s="497">
        <v>14451.620000000003</v>
      </c>
      <c r="M137" s="497">
        <v>2718.5299999999997</v>
      </c>
      <c r="N137" s="497">
        <v>0</v>
      </c>
      <c r="O137" s="497">
        <v>0</v>
      </c>
      <c r="P137" s="497">
        <v>172563.97999999998</v>
      </c>
    </row>
    <row r="138" spans="1:16">
      <c r="A138" s="503" t="s">
        <v>775</v>
      </c>
      <c r="B138" s="496">
        <v>29</v>
      </c>
      <c r="C138" s="496">
        <v>610945</v>
      </c>
      <c r="D138" s="496"/>
      <c r="E138" s="496">
        <v>2732</v>
      </c>
      <c r="F138" s="496">
        <v>1593.4600000000005</v>
      </c>
      <c r="G138" s="496">
        <v>1235</v>
      </c>
      <c r="H138" s="497">
        <v>185250</v>
      </c>
      <c r="I138" s="497">
        <v>4264396.0999999996</v>
      </c>
      <c r="J138" s="496"/>
      <c r="K138" s="497">
        <v>-52487.66</v>
      </c>
      <c r="L138" s="497">
        <v>201292.40000000002</v>
      </c>
      <c r="M138" s="497">
        <v>55229.430000000008</v>
      </c>
      <c r="N138" s="497">
        <v>-237668.7999999999</v>
      </c>
      <c r="O138" s="497">
        <v>7308</v>
      </c>
      <c r="P138" s="497">
        <v>4423319.47</v>
      </c>
    </row>
    <row r="139" spans="1:16" ht="15">
      <c r="A139" s="481"/>
      <c r="B139" s="482">
        <v>104</v>
      </c>
      <c r="C139" s="498">
        <v>7537375.8999999976</v>
      </c>
      <c r="D139" s="499"/>
      <c r="E139" s="498">
        <v>28977</v>
      </c>
      <c r="F139" s="498">
        <v>18072.680000000004</v>
      </c>
      <c r="G139" s="498">
        <v>19522</v>
      </c>
      <c r="H139" s="498">
        <v>3664530</v>
      </c>
      <c r="I139" s="498">
        <v>52807693.450000003</v>
      </c>
      <c r="J139" s="499"/>
      <c r="K139" s="498">
        <v>-544088.97000000009</v>
      </c>
      <c r="L139" s="498">
        <v>3938592.78</v>
      </c>
      <c r="M139" s="498">
        <v>681378.76999999967</v>
      </c>
      <c r="N139" s="498">
        <v>-2392001.0500000003</v>
      </c>
      <c r="O139" s="498">
        <v>79082.400000000009</v>
      </c>
      <c r="P139" s="498">
        <v>58235187.379999988</v>
      </c>
    </row>
    <row r="141" spans="1:16">
      <c r="A141" s="462">
        <v>42552</v>
      </c>
    </row>
    <row r="142" spans="1:16" ht="30">
      <c r="A142" s="476" t="s">
        <v>771</v>
      </c>
      <c r="B142" s="476" t="s">
        <v>772</v>
      </c>
      <c r="C142" s="476" t="s">
        <v>773</v>
      </c>
      <c r="D142" s="476" t="s">
        <v>828</v>
      </c>
      <c r="E142" s="476" t="s">
        <v>829</v>
      </c>
      <c r="F142" s="476" t="s">
        <v>830</v>
      </c>
      <c r="G142" s="476" t="s">
        <v>831</v>
      </c>
      <c r="H142" s="476" t="s">
        <v>832</v>
      </c>
      <c r="I142" s="476" t="s">
        <v>833</v>
      </c>
      <c r="J142" s="476" t="s">
        <v>834</v>
      </c>
      <c r="K142" s="476" t="s">
        <v>835</v>
      </c>
      <c r="L142" s="476" t="s">
        <v>837</v>
      </c>
      <c r="M142" s="476" t="s">
        <v>838</v>
      </c>
      <c r="N142" s="476" t="s">
        <v>839</v>
      </c>
      <c r="O142" s="476" t="s">
        <v>840</v>
      </c>
      <c r="P142" s="476" t="s">
        <v>841</v>
      </c>
    </row>
    <row r="143" spans="1:16">
      <c r="A143" s="503" t="s">
        <v>769</v>
      </c>
      <c r="B143" s="496">
        <v>43</v>
      </c>
      <c r="C143" s="496">
        <v>6205027</v>
      </c>
      <c r="D143" s="496"/>
      <c r="E143" s="496">
        <v>25980</v>
      </c>
      <c r="F143" s="496">
        <v>15280.84</v>
      </c>
      <c r="G143" s="496">
        <v>17223</v>
      </c>
      <c r="H143" s="497">
        <v>3272370</v>
      </c>
      <c r="I143" s="497">
        <v>43497239.269999988</v>
      </c>
      <c r="J143" s="496"/>
      <c r="K143" s="497">
        <v>-520268.84000000008</v>
      </c>
      <c r="L143" s="497">
        <v>3275905.3899999997</v>
      </c>
      <c r="M143" s="497">
        <v>560934.46000000008</v>
      </c>
      <c r="N143" s="497">
        <v>-1906717.36</v>
      </c>
      <c r="O143" s="497">
        <v>37677</v>
      </c>
      <c r="P143" s="497">
        <v>48217139.920000002</v>
      </c>
    </row>
    <row r="144" spans="1:16">
      <c r="A144" s="503" t="s">
        <v>765</v>
      </c>
      <c r="B144" s="496">
        <v>9</v>
      </c>
      <c r="C144" s="496">
        <v>8360.2000000000007</v>
      </c>
      <c r="D144" s="496"/>
      <c r="E144" s="496">
        <v>0</v>
      </c>
      <c r="F144" s="496">
        <v>0</v>
      </c>
      <c r="G144" s="496">
        <v>0</v>
      </c>
      <c r="H144" s="497">
        <v>1710</v>
      </c>
      <c r="I144" s="497">
        <v>65719.53</v>
      </c>
      <c r="J144" s="496"/>
      <c r="K144" s="497">
        <v>0</v>
      </c>
      <c r="L144" s="497">
        <v>14160.2</v>
      </c>
      <c r="M144" s="497">
        <v>755.77</v>
      </c>
      <c r="N144" s="497">
        <v>0</v>
      </c>
      <c r="O144" s="497">
        <v>0</v>
      </c>
      <c r="P144" s="497">
        <v>82345.500000000015</v>
      </c>
    </row>
    <row r="145" spans="1:16">
      <c r="A145" s="503" t="s">
        <v>766</v>
      </c>
      <c r="B145" s="496">
        <v>7</v>
      </c>
      <c r="C145" s="496">
        <v>24583.699999999997</v>
      </c>
      <c r="D145" s="496"/>
      <c r="E145" s="496">
        <v>265</v>
      </c>
      <c r="F145" s="496">
        <v>113.64</v>
      </c>
      <c r="G145" s="496">
        <v>117</v>
      </c>
      <c r="H145" s="497">
        <v>22230</v>
      </c>
      <c r="I145" s="497">
        <v>207486.41999999998</v>
      </c>
      <c r="J145" s="496"/>
      <c r="K145" s="497">
        <v>270.9799999999999</v>
      </c>
      <c r="L145" s="497">
        <v>48297.350000000006</v>
      </c>
      <c r="M145" s="497">
        <v>2222.35</v>
      </c>
      <c r="N145" s="497">
        <v>-220.51999999999998</v>
      </c>
      <c r="O145" s="497">
        <v>0</v>
      </c>
      <c r="P145" s="497">
        <v>280286.58</v>
      </c>
    </row>
    <row r="146" spans="1:16">
      <c r="A146" s="503" t="s">
        <v>774</v>
      </c>
      <c r="B146" s="496">
        <v>17</v>
      </c>
      <c r="C146" s="496">
        <v>30931.099999999995</v>
      </c>
      <c r="D146" s="496"/>
      <c r="E146" s="496">
        <v>0</v>
      </c>
      <c r="F146" s="496">
        <v>0</v>
      </c>
      <c r="G146" s="496">
        <v>0</v>
      </c>
      <c r="H146" s="497">
        <v>3230</v>
      </c>
      <c r="I146" s="497">
        <v>156511.38</v>
      </c>
      <c r="J146" s="496"/>
      <c r="K146" s="497">
        <v>0</v>
      </c>
      <c r="L146" s="497">
        <v>14478.04</v>
      </c>
      <c r="M146" s="497">
        <v>2796.1600000000003</v>
      </c>
      <c r="N146" s="497">
        <v>0</v>
      </c>
      <c r="O146" s="497">
        <v>0</v>
      </c>
      <c r="P146" s="497">
        <v>177015.58000000002</v>
      </c>
    </row>
    <row r="147" spans="1:16">
      <c r="A147" s="503" t="s">
        <v>775</v>
      </c>
      <c r="B147" s="496">
        <v>29</v>
      </c>
      <c r="C147" s="496">
        <v>583438</v>
      </c>
      <c r="D147" s="496"/>
      <c r="E147" s="496">
        <v>2732</v>
      </c>
      <c r="F147" s="496">
        <v>1518.6599999999994</v>
      </c>
      <c r="G147" s="496">
        <v>1227</v>
      </c>
      <c r="H147" s="497">
        <v>184050</v>
      </c>
      <c r="I147" s="497">
        <v>4072397.24</v>
      </c>
      <c r="J147" s="496"/>
      <c r="K147" s="497">
        <v>-55792.060000000005</v>
      </c>
      <c r="L147" s="497">
        <v>192984.72999999995</v>
      </c>
      <c r="M147" s="497">
        <v>52742.789999999994</v>
      </c>
      <c r="N147" s="497">
        <v>-225584.01000000007</v>
      </c>
      <c r="O147" s="497">
        <v>5355</v>
      </c>
      <c r="P147" s="497">
        <v>4226153.6899999995</v>
      </c>
    </row>
    <row r="148" spans="1:16" ht="15">
      <c r="A148" s="481"/>
      <c r="B148" s="482">
        <v>105</v>
      </c>
      <c r="C148" s="498">
        <v>6852339.9999999981</v>
      </c>
      <c r="D148" s="499"/>
      <c r="E148" s="498">
        <v>28977</v>
      </c>
      <c r="F148" s="498">
        <v>16913.139999999992</v>
      </c>
      <c r="G148" s="498">
        <v>18567</v>
      </c>
      <c r="H148" s="498">
        <v>3483590</v>
      </c>
      <c r="I148" s="498">
        <v>47999353.839999974</v>
      </c>
      <c r="J148" s="499"/>
      <c r="K148" s="498">
        <v>-575789.92000000004</v>
      </c>
      <c r="L148" s="498">
        <v>3545825.7100000009</v>
      </c>
      <c r="M148" s="498">
        <v>619451.53000000026</v>
      </c>
      <c r="N148" s="498">
        <v>-2132521.89</v>
      </c>
      <c r="O148" s="498">
        <v>43032</v>
      </c>
      <c r="P148" s="498">
        <v>52982941.269999988</v>
      </c>
    </row>
    <row r="150" spans="1:16">
      <c r="A150" s="462">
        <v>42583</v>
      </c>
    </row>
    <row r="151" spans="1:16" ht="30">
      <c r="A151" s="476" t="s">
        <v>771</v>
      </c>
      <c r="B151" s="476" t="s">
        <v>772</v>
      </c>
      <c r="C151" s="476" t="s">
        <v>773</v>
      </c>
      <c r="D151" s="476" t="s">
        <v>828</v>
      </c>
      <c r="E151" s="476" t="s">
        <v>829</v>
      </c>
      <c r="F151" s="476" t="s">
        <v>830</v>
      </c>
      <c r="G151" s="476" t="s">
        <v>831</v>
      </c>
      <c r="H151" s="476" t="s">
        <v>832</v>
      </c>
      <c r="I151" s="476" t="s">
        <v>833</v>
      </c>
      <c r="J151" s="476" t="s">
        <v>834</v>
      </c>
      <c r="K151" s="476" t="s">
        <v>835</v>
      </c>
      <c r="L151" s="476" t="s">
        <v>837</v>
      </c>
      <c r="M151" s="476" t="s">
        <v>838</v>
      </c>
      <c r="N151" s="476" t="s">
        <v>839</v>
      </c>
      <c r="O151" s="476" t="s">
        <v>840</v>
      </c>
      <c r="P151" s="476" t="s">
        <v>841</v>
      </c>
    </row>
    <row r="152" spans="1:16">
      <c r="A152" s="503" t="s">
        <v>769</v>
      </c>
      <c r="B152" s="496">
        <v>43</v>
      </c>
      <c r="C152" s="496">
        <v>6455553</v>
      </c>
      <c r="D152" s="496"/>
      <c r="E152" s="496">
        <v>25980</v>
      </c>
      <c r="F152" s="496">
        <v>15219.679999999998</v>
      </c>
      <c r="G152" s="496">
        <v>17388</v>
      </c>
      <c r="H152" s="497">
        <v>3303720</v>
      </c>
      <c r="I152" s="497">
        <v>45253426.529999986</v>
      </c>
      <c r="J152" s="496"/>
      <c r="K152" s="497">
        <v>-487788.67999999993</v>
      </c>
      <c r="L152" s="497">
        <v>3387074.79</v>
      </c>
      <c r="M152" s="497">
        <v>583581.97</v>
      </c>
      <c r="N152" s="497">
        <v>-1939606.4</v>
      </c>
      <c r="O152" s="497">
        <v>37540.199999999997</v>
      </c>
      <c r="P152" s="497">
        <v>50137948.409999996</v>
      </c>
    </row>
    <row r="153" spans="1:16">
      <c r="A153" s="503" t="s">
        <v>765</v>
      </c>
      <c r="B153" s="496">
        <v>9</v>
      </c>
      <c r="C153" s="496">
        <v>9465.6000000000022</v>
      </c>
      <c r="D153" s="496"/>
      <c r="E153" s="496">
        <v>0</v>
      </c>
      <c r="F153" s="496">
        <v>0</v>
      </c>
      <c r="G153" s="496">
        <v>0</v>
      </c>
      <c r="H153" s="497">
        <v>1710</v>
      </c>
      <c r="I153" s="497">
        <v>75052.37000000001</v>
      </c>
      <c r="J153" s="496"/>
      <c r="K153" s="497">
        <v>0</v>
      </c>
      <c r="L153" s="497">
        <v>16120.1</v>
      </c>
      <c r="M153" s="497">
        <v>855.67999999999984</v>
      </c>
      <c r="N153" s="497">
        <v>0</v>
      </c>
      <c r="O153" s="497">
        <v>0</v>
      </c>
      <c r="P153" s="497">
        <v>93738.15</v>
      </c>
    </row>
    <row r="154" spans="1:16">
      <c r="A154" s="503" t="s">
        <v>766</v>
      </c>
      <c r="B154" s="496">
        <v>7</v>
      </c>
      <c r="C154" s="496">
        <v>34242</v>
      </c>
      <c r="D154" s="496"/>
      <c r="E154" s="496">
        <v>265</v>
      </c>
      <c r="F154" s="496">
        <v>136.88999999999999</v>
      </c>
      <c r="G154" s="496">
        <v>128</v>
      </c>
      <c r="H154" s="497">
        <v>24320</v>
      </c>
      <c r="I154" s="497">
        <v>289002.48</v>
      </c>
      <c r="J154" s="496"/>
      <c r="K154" s="497">
        <v>-1268.5900000000001</v>
      </c>
      <c r="L154" s="497">
        <v>65998.140000000014</v>
      </c>
      <c r="M154" s="497">
        <v>3095.4700000000003</v>
      </c>
      <c r="N154" s="497">
        <v>-9895.59</v>
      </c>
      <c r="O154" s="497">
        <v>2223</v>
      </c>
      <c r="P154" s="497">
        <v>373474.91000000003</v>
      </c>
    </row>
    <row r="155" spans="1:16">
      <c r="A155" s="503" t="s">
        <v>774</v>
      </c>
      <c r="B155" s="496">
        <v>17</v>
      </c>
      <c r="C155" s="496">
        <v>31225.900000000005</v>
      </c>
      <c r="D155" s="496"/>
      <c r="E155" s="496">
        <v>0</v>
      </c>
      <c r="F155" s="496">
        <v>0</v>
      </c>
      <c r="G155" s="496">
        <v>0</v>
      </c>
      <c r="H155" s="497">
        <v>3230</v>
      </c>
      <c r="I155" s="497">
        <v>158003.05000000002</v>
      </c>
      <c r="J155" s="496"/>
      <c r="K155" s="497">
        <v>0</v>
      </c>
      <c r="L155" s="497">
        <v>14613.25</v>
      </c>
      <c r="M155" s="497">
        <v>2822.83</v>
      </c>
      <c r="N155" s="497">
        <v>0</v>
      </c>
      <c r="O155" s="497">
        <v>0</v>
      </c>
      <c r="P155" s="497">
        <v>178669.13</v>
      </c>
    </row>
    <row r="156" spans="1:16">
      <c r="A156" s="503" t="s">
        <v>775</v>
      </c>
      <c r="B156" s="496">
        <v>29</v>
      </c>
      <c r="C156" s="496">
        <v>606996</v>
      </c>
      <c r="D156" s="496"/>
      <c r="E156" s="496">
        <v>2732</v>
      </c>
      <c r="F156" s="496">
        <v>1530.6600000000003</v>
      </c>
      <c r="G156" s="496">
        <v>1243</v>
      </c>
      <c r="H156" s="497">
        <v>186450</v>
      </c>
      <c r="I156" s="497">
        <v>4236832.08</v>
      </c>
      <c r="J156" s="496"/>
      <c r="K156" s="497">
        <v>-54836.539999999994</v>
      </c>
      <c r="L156" s="497">
        <v>199124.00999999998</v>
      </c>
      <c r="M156" s="497">
        <v>54872.430000000008</v>
      </c>
      <c r="N156" s="497">
        <v>-216644.07999999996</v>
      </c>
      <c r="O156" s="497">
        <v>11223</v>
      </c>
      <c r="P156" s="497">
        <v>4417020.8999999994</v>
      </c>
    </row>
    <row r="157" spans="1:16" ht="15">
      <c r="A157" s="481"/>
      <c r="B157" s="482">
        <v>105</v>
      </c>
      <c r="C157" s="498">
        <v>7137482.5</v>
      </c>
      <c r="D157" s="499"/>
      <c r="E157" s="498">
        <v>28977</v>
      </c>
      <c r="F157" s="498">
        <v>16887.229999999996</v>
      </c>
      <c r="G157" s="498">
        <v>18759</v>
      </c>
      <c r="H157" s="498">
        <v>3519430</v>
      </c>
      <c r="I157" s="498">
        <v>50012316.509999983</v>
      </c>
      <c r="J157" s="499"/>
      <c r="K157" s="498">
        <v>-543893.81000000006</v>
      </c>
      <c r="L157" s="498">
        <v>3682930.29</v>
      </c>
      <c r="M157" s="498">
        <v>645228.38</v>
      </c>
      <c r="N157" s="498">
        <v>-2166146.0699999998</v>
      </c>
      <c r="O157" s="498">
        <v>50986.2</v>
      </c>
      <c r="P157" s="498">
        <v>55200851.500000015</v>
      </c>
    </row>
    <row r="159" spans="1:16">
      <c r="A159" s="462">
        <v>42614</v>
      </c>
    </row>
    <row r="160" spans="1:16" ht="30">
      <c r="A160" s="500" t="s">
        <v>771</v>
      </c>
      <c r="B160" s="500" t="s">
        <v>772</v>
      </c>
      <c r="C160" s="476" t="s">
        <v>773</v>
      </c>
      <c r="D160" s="476" t="s">
        <v>828</v>
      </c>
      <c r="E160" s="476" t="s">
        <v>829</v>
      </c>
      <c r="F160" s="476" t="s">
        <v>830</v>
      </c>
      <c r="G160" s="476" t="s">
        <v>831</v>
      </c>
      <c r="H160" s="476" t="s">
        <v>832</v>
      </c>
      <c r="I160" s="476" t="s">
        <v>833</v>
      </c>
      <c r="J160" s="476" t="s">
        <v>834</v>
      </c>
      <c r="K160" s="476" t="s">
        <v>835</v>
      </c>
      <c r="L160" s="476" t="s">
        <v>837</v>
      </c>
      <c r="M160" s="476" t="s">
        <v>838</v>
      </c>
      <c r="N160" s="476" t="s">
        <v>839</v>
      </c>
      <c r="O160" s="476" t="s">
        <v>840</v>
      </c>
      <c r="P160" s="476" t="s">
        <v>841</v>
      </c>
    </row>
    <row r="161" spans="1:16">
      <c r="A161" s="494" t="s">
        <v>769</v>
      </c>
      <c r="B161" s="495">
        <v>43</v>
      </c>
      <c r="C161" s="496">
        <v>6068114</v>
      </c>
      <c r="D161" s="496"/>
      <c r="E161" s="496">
        <v>24761</v>
      </c>
      <c r="F161" s="496">
        <v>14964.640000000001</v>
      </c>
      <c r="G161" s="496">
        <v>16572</v>
      </c>
      <c r="H161" s="497">
        <v>3148680</v>
      </c>
      <c r="I161" s="497">
        <v>42537479.140000008</v>
      </c>
      <c r="J161" s="496"/>
      <c r="K161" s="497">
        <v>-444046.9800000001</v>
      </c>
      <c r="L161" s="497">
        <v>3175209.5599999996</v>
      </c>
      <c r="M161" s="497">
        <v>548557.5</v>
      </c>
      <c r="N161" s="497">
        <v>-1936410.7199999995</v>
      </c>
      <c r="O161" s="497">
        <v>35898.6</v>
      </c>
      <c r="P161" s="497">
        <v>47065367.100000001</v>
      </c>
    </row>
    <row r="162" spans="1:16">
      <c r="A162" s="494" t="s">
        <v>765</v>
      </c>
      <c r="B162" s="495">
        <v>10</v>
      </c>
      <c r="C162" s="496">
        <v>9298</v>
      </c>
      <c r="D162" s="496"/>
      <c r="E162" s="496">
        <v>0</v>
      </c>
      <c r="F162" s="496">
        <v>0</v>
      </c>
      <c r="G162" s="496">
        <v>0</v>
      </c>
      <c r="H162" s="497">
        <v>1900</v>
      </c>
      <c r="I162" s="497">
        <v>73558.810000000012</v>
      </c>
      <c r="J162" s="496"/>
      <c r="K162" s="497">
        <v>0</v>
      </c>
      <c r="L162" s="497">
        <v>15846.35</v>
      </c>
      <c r="M162" s="497">
        <v>840.54</v>
      </c>
      <c r="N162" s="497">
        <v>0</v>
      </c>
      <c r="O162" s="497">
        <v>0</v>
      </c>
      <c r="P162" s="497">
        <v>92145.699999999983</v>
      </c>
    </row>
    <row r="163" spans="1:16">
      <c r="A163" s="494" t="s">
        <v>766</v>
      </c>
      <c r="B163" s="495">
        <v>7</v>
      </c>
      <c r="C163" s="496">
        <v>35654.300000000003</v>
      </c>
      <c r="D163" s="496"/>
      <c r="E163" s="496">
        <v>265</v>
      </c>
      <c r="F163" s="496">
        <v>151.89999999999998</v>
      </c>
      <c r="G163" s="496">
        <v>141</v>
      </c>
      <c r="H163" s="497">
        <v>26790</v>
      </c>
      <c r="I163" s="497">
        <v>300922.29000000004</v>
      </c>
      <c r="J163" s="496"/>
      <c r="K163" s="497">
        <v>-260.68</v>
      </c>
      <c r="L163" s="497">
        <v>70955.359999999986</v>
      </c>
      <c r="M163" s="497">
        <v>3223.14</v>
      </c>
      <c r="N163" s="497">
        <v>-4680.6400000000003</v>
      </c>
      <c r="O163" s="497">
        <v>10431</v>
      </c>
      <c r="P163" s="497">
        <v>407380.47000000003</v>
      </c>
    </row>
    <row r="164" spans="1:16">
      <c r="A164" s="494" t="s">
        <v>774</v>
      </c>
      <c r="B164" s="495">
        <v>17</v>
      </c>
      <c r="C164" s="496">
        <v>30342</v>
      </c>
      <c r="D164" s="496"/>
      <c r="E164" s="496">
        <v>0</v>
      </c>
      <c r="F164" s="496">
        <v>0</v>
      </c>
      <c r="G164" s="496">
        <v>0</v>
      </c>
      <c r="H164" s="497">
        <v>3230</v>
      </c>
      <c r="I164" s="497">
        <v>153530.50999999998</v>
      </c>
      <c r="J164" s="496"/>
      <c r="K164" s="497">
        <v>0</v>
      </c>
      <c r="L164" s="497">
        <v>14228.74</v>
      </c>
      <c r="M164" s="497">
        <v>2742.94</v>
      </c>
      <c r="N164" s="497">
        <v>0</v>
      </c>
      <c r="O164" s="497">
        <v>0</v>
      </c>
      <c r="P164" s="497">
        <v>173732.18999999994</v>
      </c>
    </row>
    <row r="165" spans="1:16">
      <c r="A165" s="494" t="s">
        <v>775</v>
      </c>
      <c r="B165" s="495">
        <v>29</v>
      </c>
      <c r="C165" s="496">
        <v>577943</v>
      </c>
      <c r="D165" s="496"/>
      <c r="E165" s="496">
        <v>2732</v>
      </c>
      <c r="F165" s="496">
        <v>1475.1700000000003</v>
      </c>
      <c r="G165" s="496">
        <v>1221</v>
      </c>
      <c r="H165" s="497">
        <v>183150</v>
      </c>
      <c r="I165" s="497">
        <v>4034042.14</v>
      </c>
      <c r="J165" s="496"/>
      <c r="K165" s="497">
        <v>-52072.539999999994</v>
      </c>
      <c r="L165" s="497">
        <v>189634.77000000002</v>
      </c>
      <c r="M165" s="497">
        <v>52246.059999999983</v>
      </c>
      <c r="N165" s="497">
        <v>-245576.43</v>
      </c>
      <c r="O165" s="497">
        <v>3933</v>
      </c>
      <c r="P165" s="497">
        <v>4165357.0000000005</v>
      </c>
    </row>
    <row r="166" spans="1:16" ht="15">
      <c r="A166" s="501" t="s">
        <v>845</v>
      </c>
      <c r="B166" s="502">
        <v>106</v>
      </c>
      <c r="C166" s="498">
        <f>SUM(C161:C165)</f>
        <v>6721351.2999999998</v>
      </c>
      <c r="D166" s="499"/>
      <c r="E166" s="498">
        <f t="shared" ref="E166:I166" si="57">SUM(E161:E165)</f>
        <v>27758</v>
      </c>
      <c r="F166" s="498">
        <f t="shared" si="57"/>
        <v>16591.710000000003</v>
      </c>
      <c r="G166" s="498">
        <f t="shared" si="57"/>
        <v>17934</v>
      </c>
      <c r="H166" s="498">
        <f t="shared" si="57"/>
        <v>3363750</v>
      </c>
      <c r="I166" s="498">
        <f t="shared" si="57"/>
        <v>47099532.890000008</v>
      </c>
      <c r="J166" s="499"/>
      <c r="K166" s="498">
        <f t="shared" ref="K166:P166" si="58">SUM(K161:K165)</f>
        <v>-496380.20000000007</v>
      </c>
      <c r="L166" s="498">
        <f t="shared" si="58"/>
        <v>3465874.78</v>
      </c>
      <c r="M166" s="498">
        <f t="shared" si="58"/>
        <v>607610.17999999993</v>
      </c>
      <c r="N166" s="498">
        <f t="shared" si="58"/>
        <v>-2186667.7899999996</v>
      </c>
      <c r="O166" s="498">
        <f t="shared" si="58"/>
        <v>50262.6</v>
      </c>
      <c r="P166" s="498">
        <f t="shared" si="58"/>
        <v>51903982.460000001</v>
      </c>
    </row>
    <row r="168" spans="1:16">
      <c r="A168" s="462">
        <v>42644</v>
      </c>
    </row>
    <row r="169" spans="1:16" ht="30">
      <c r="A169" s="500" t="s">
        <v>771</v>
      </c>
      <c r="B169" s="500" t="s">
        <v>772</v>
      </c>
      <c r="C169" s="476" t="s">
        <v>773</v>
      </c>
      <c r="D169" s="476" t="s">
        <v>828</v>
      </c>
      <c r="E169" s="476" t="s">
        <v>829</v>
      </c>
      <c r="F169" s="476" t="s">
        <v>830</v>
      </c>
      <c r="G169" s="476" t="s">
        <v>831</v>
      </c>
      <c r="H169" s="476" t="s">
        <v>832</v>
      </c>
      <c r="I169" s="476" t="s">
        <v>833</v>
      </c>
      <c r="J169" s="476" t="s">
        <v>834</v>
      </c>
      <c r="K169" s="476" t="s">
        <v>835</v>
      </c>
      <c r="L169" s="476" t="s">
        <v>837</v>
      </c>
      <c r="M169" s="476" t="s">
        <v>838</v>
      </c>
      <c r="N169" s="476" t="s">
        <v>839</v>
      </c>
      <c r="O169" s="476" t="s">
        <v>840</v>
      </c>
      <c r="P169" s="476" t="s">
        <v>841</v>
      </c>
    </row>
    <row r="170" spans="1:16">
      <c r="A170" s="494" t="s">
        <v>776</v>
      </c>
      <c r="B170" s="495">
        <v>43</v>
      </c>
      <c r="C170" s="496">
        <v>6103869</v>
      </c>
      <c r="D170" s="496"/>
      <c r="E170" s="496">
        <v>24761</v>
      </c>
      <c r="F170" s="496">
        <v>14965.599999999999</v>
      </c>
      <c r="G170" s="496">
        <v>16525</v>
      </c>
      <c r="H170" s="497">
        <v>3139750</v>
      </c>
      <c r="I170" s="497">
        <v>25025862.900000006</v>
      </c>
      <c r="J170" s="497">
        <v>6470101.1400000015</v>
      </c>
      <c r="K170" s="497">
        <v>-540600.95999999985</v>
      </c>
      <c r="L170" s="497">
        <v>2386202.15</v>
      </c>
      <c r="M170" s="497">
        <v>551789.77</v>
      </c>
      <c r="N170" s="497">
        <v>-1186758.1499999999</v>
      </c>
      <c r="O170" s="497">
        <v>40823.4</v>
      </c>
      <c r="P170" s="497">
        <v>35887170.250000007</v>
      </c>
    </row>
    <row r="171" spans="1:16">
      <c r="A171" s="494" t="s">
        <v>777</v>
      </c>
      <c r="B171" s="495">
        <v>26</v>
      </c>
      <c r="C171" s="496">
        <v>42045.999999999993</v>
      </c>
      <c r="D171" s="496"/>
      <c r="E171" s="496">
        <v>0</v>
      </c>
      <c r="F171" s="496">
        <v>0</v>
      </c>
      <c r="G171" s="496">
        <v>0</v>
      </c>
      <c r="H171" s="497">
        <v>4940</v>
      </c>
      <c r="I171" s="497">
        <v>180797.80000000002</v>
      </c>
      <c r="J171" s="497">
        <v>44568.760000000017</v>
      </c>
      <c r="K171" s="497">
        <v>0</v>
      </c>
      <c r="L171" s="497">
        <v>48364.369999999995</v>
      </c>
      <c r="M171" s="497">
        <v>3800.9700000000007</v>
      </c>
      <c r="N171" s="497">
        <v>0</v>
      </c>
      <c r="O171" s="497">
        <v>0</v>
      </c>
      <c r="P171" s="497">
        <v>282471.90000000002</v>
      </c>
    </row>
    <row r="172" spans="1:16">
      <c r="A172" s="494" t="s">
        <v>778</v>
      </c>
      <c r="B172" s="495">
        <v>7</v>
      </c>
      <c r="C172" s="496">
        <v>46119.5</v>
      </c>
      <c r="D172" s="496"/>
      <c r="E172" s="496">
        <v>265</v>
      </c>
      <c r="F172" s="496">
        <v>174.76</v>
      </c>
      <c r="G172" s="496">
        <v>148</v>
      </c>
      <c r="H172" s="497">
        <v>28120</v>
      </c>
      <c r="I172" s="497">
        <v>200619.83000000002</v>
      </c>
      <c r="J172" s="497">
        <v>48886.67</v>
      </c>
      <c r="K172" s="497">
        <v>-76.060000000000173</v>
      </c>
      <c r="L172" s="497">
        <v>60404.270000000004</v>
      </c>
      <c r="M172" s="497">
        <v>4169.1899999999996</v>
      </c>
      <c r="N172" s="497">
        <v>-1808.61</v>
      </c>
      <c r="O172" s="497">
        <v>10089</v>
      </c>
      <c r="P172" s="497">
        <v>350404.29</v>
      </c>
    </row>
    <row r="173" spans="1:16">
      <c r="A173" s="494" t="s">
        <v>779</v>
      </c>
      <c r="B173" s="495">
        <v>1</v>
      </c>
      <c r="C173" s="496">
        <v>714.8</v>
      </c>
      <c r="D173" s="496"/>
      <c r="E173" s="496">
        <v>0</v>
      </c>
      <c r="F173" s="496">
        <v>0</v>
      </c>
      <c r="G173" s="496">
        <v>0</v>
      </c>
      <c r="H173" s="497">
        <v>190</v>
      </c>
      <c r="I173" s="497">
        <v>2930.68</v>
      </c>
      <c r="J173" s="497">
        <v>757.68799999999931</v>
      </c>
      <c r="K173" s="497">
        <v>0</v>
      </c>
      <c r="L173" s="497">
        <v>0</v>
      </c>
      <c r="M173" s="497">
        <v>64.62</v>
      </c>
      <c r="N173" s="497">
        <v>0</v>
      </c>
      <c r="O173" s="497">
        <v>0</v>
      </c>
      <c r="P173" s="497">
        <v>3942.9879999999989</v>
      </c>
    </row>
    <row r="174" spans="1:16">
      <c r="A174" s="494" t="s">
        <v>780</v>
      </c>
      <c r="B174" s="495">
        <v>29</v>
      </c>
      <c r="C174" s="496">
        <v>593859</v>
      </c>
      <c r="D174" s="496"/>
      <c r="E174" s="496">
        <v>2732</v>
      </c>
      <c r="F174" s="496">
        <v>1539.4600000000005</v>
      </c>
      <c r="G174" s="496">
        <v>1232</v>
      </c>
      <c r="H174" s="497">
        <v>184800</v>
      </c>
      <c r="I174" s="497">
        <v>2470453.4399999995</v>
      </c>
      <c r="J174" s="497">
        <v>629490.54</v>
      </c>
      <c r="K174" s="497">
        <v>-54425.96</v>
      </c>
      <c r="L174" s="497">
        <v>147022.16999999998</v>
      </c>
      <c r="M174" s="497">
        <v>53684.850000000013</v>
      </c>
      <c r="N174" s="497">
        <v>-187544.50000000003</v>
      </c>
      <c r="O174" s="497">
        <v>5076</v>
      </c>
      <c r="P174" s="497">
        <v>3248556.5400000005</v>
      </c>
    </row>
    <row r="175" spans="1:16" ht="15">
      <c r="A175" s="501" t="s">
        <v>845</v>
      </c>
      <c r="B175" s="502">
        <f>SUM(B170:B174)</f>
        <v>106</v>
      </c>
      <c r="C175" s="498">
        <f>SUM(C170:C174)</f>
        <v>6786608.2999999998</v>
      </c>
      <c r="D175" s="499"/>
      <c r="E175" s="498">
        <f t="shared" ref="E175:P175" si="59">SUM(E170:E174)</f>
        <v>27758</v>
      </c>
      <c r="F175" s="498">
        <f t="shared" si="59"/>
        <v>16679.82</v>
      </c>
      <c r="G175" s="498">
        <f t="shared" si="59"/>
        <v>17905</v>
      </c>
      <c r="H175" s="498">
        <f t="shared" si="59"/>
        <v>3357800</v>
      </c>
      <c r="I175" s="498">
        <f t="shared" si="59"/>
        <v>27880664.650000006</v>
      </c>
      <c r="J175" s="498">
        <f t="shared" si="59"/>
        <v>7193804.7980000013</v>
      </c>
      <c r="K175" s="498">
        <f t="shared" si="59"/>
        <v>-595102.97999999986</v>
      </c>
      <c r="L175" s="498">
        <f t="shared" si="59"/>
        <v>2641992.96</v>
      </c>
      <c r="M175" s="498">
        <f t="shared" si="59"/>
        <v>613509.39999999991</v>
      </c>
      <c r="N175" s="498">
        <f t="shared" si="59"/>
        <v>-1376111.26</v>
      </c>
      <c r="O175" s="498">
        <f t="shared" si="59"/>
        <v>55988.4</v>
      </c>
      <c r="P175" s="498">
        <f t="shared" si="59"/>
        <v>39772545.968000002</v>
      </c>
    </row>
    <row r="177" spans="1:16">
      <c r="A177" s="462">
        <v>42675</v>
      </c>
    </row>
    <row r="178" spans="1:16" ht="30">
      <c r="A178" s="476" t="s">
        <v>771</v>
      </c>
      <c r="B178" s="476" t="s">
        <v>772</v>
      </c>
      <c r="C178" s="476" t="s">
        <v>773</v>
      </c>
      <c r="D178" s="476" t="s">
        <v>828</v>
      </c>
      <c r="E178" s="476" t="s">
        <v>829</v>
      </c>
      <c r="F178" s="476" t="s">
        <v>830</v>
      </c>
      <c r="G178" s="476" t="s">
        <v>831</v>
      </c>
      <c r="H178" s="476" t="s">
        <v>832</v>
      </c>
      <c r="I178" s="476" t="s">
        <v>833</v>
      </c>
      <c r="J178" s="476" t="s">
        <v>834</v>
      </c>
      <c r="K178" s="476" t="s">
        <v>835</v>
      </c>
      <c r="L178" s="476" t="s">
        <v>837</v>
      </c>
      <c r="M178" s="476" t="s">
        <v>838</v>
      </c>
      <c r="N178" s="476" t="s">
        <v>839</v>
      </c>
      <c r="O178" s="476" t="s">
        <v>840</v>
      </c>
      <c r="P178" s="476" t="s">
        <v>841</v>
      </c>
    </row>
    <row r="179" spans="1:16">
      <c r="A179" s="494" t="s">
        <v>776</v>
      </c>
      <c r="B179" s="495">
        <v>43</v>
      </c>
      <c r="C179" s="496">
        <v>5737032</v>
      </c>
      <c r="D179" s="496">
        <v>-280050</v>
      </c>
      <c r="E179" s="496">
        <v>24543</v>
      </c>
      <c r="F179" s="496">
        <v>14325.56</v>
      </c>
      <c r="G179" s="496">
        <v>16083</v>
      </c>
      <c r="H179" s="497">
        <v>3055770</v>
      </c>
      <c r="I179" s="497">
        <v>23521831.199999999</v>
      </c>
      <c r="J179" s="497">
        <v>6081253.9199999999</v>
      </c>
      <c r="K179" s="497">
        <v>-439565.75</v>
      </c>
      <c r="L179" s="497">
        <v>2243591.46</v>
      </c>
      <c r="M179" s="497">
        <v>518627.7</v>
      </c>
      <c r="N179" s="497">
        <v>-1322191.2700000003</v>
      </c>
      <c r="O179" s="497">
        <v>38497.800000000003</v>
      </c>
      <c r="P179" s="497">
        <v>33697815.060000002</v>
      </c>
    </row>
    <row r="180" spans="1:16">
      <c r="A180" s="494" t="s">
        <v>777</v>
      </c>
      <c r="B180" s="495">
        <v>27</v>
      </c>
      <c r="C180" s="496">
        <v>41516</v>
      </c>
      <c r="D180" s="496">
        <v>0</v>
      </c>
      <c r="E180" s="496">
        <v>0</v>
      </c>
      <c r="F180" s="496">
        <v>0</v>
      </c>
      <c r="G180" s="496">
        <v>0</v>
      </c>
      <c r="H180" s="497">
        <v>5130</v>
      </c>
      <c r="I180" s="497">
        <v>178518.80000000002</v>
      </c>
      <c r="J180" s="497">
        <v>44006.960000000006</v>
      </c>
      <c r="K180" s="497">
        <v>0</v>
      </c>
      <c r="L180" s="497">
        <v>47807.720000000008</v>
      </c>
      <c r="M180" s="497">
        <v>3753.0600000000004</v>
      </c>
      <c r="N180" s="497">
        <v>0</v>
      </c>
      <c r="O180" s="497">
        <v>0</v>
      </c>
      <c r="P180" s="497">
        <v>279216.53999999998</v>
      </c>
    </row>
    <row r="181" spans="1:16">
      <c r="A181" s="494" t="s">
        <v>778</v>
      </c>
      <c r="B181" s="495">
        <v>7</v>
      </c>
      <c r="C181" s="496">
        <v>44701.3</v>
      </c>
      <c r="D181" s="496">
        <v>-6560</v>
      </c>
      <c r="E181" s="496">
        <v>265</v>
      </c>
      <c r="F181" s="496">
        <v>164.57</v>
      </c>
      <c r="G181" s="496">
        <v>147</v>
      </c>
      <c r="H181" s="497">
        <v>27930</v>
      </c>
      <c r="I181" s="497">
        <v>194450.66</v>
      </c>
      <c r="J181" s="497">
        <v>47383.377999999997</v>
      </c>
      <c r="K181" s="497">
        <v>-3201.1800000000003</v>
      </c>
      <c r="L181" s="497">
        <v>58520.62</v>
      </c>
      <c r="M181" s="497">
        <v>4041.0099999999998</v>
      </c>
      <c r="N181" s="497">
        <v>-1622.3100000000002</v>
      </c>
      <c r="O181" s="497">
        <v>12106.8</v>
      </c>
      <c r="P181" s="497">
        <v>339608.978</v>
      </c>
    </row>
    <row r="182" spans="1:16">
      <c r="A182" s="494" t="s">
        <v>779</v>
      </c>
      <c r="B182" s="495">
        <v>1</v>
      </c>
      <c r="C182" s="496">
        <v>825</v>
      </c>
      <c r="D182" s="496">
        <v>0</v>
      </c>
      <c r="E182" s="496">
        <v>0</v>
      </c>
      <c r="F182" s="496">
        <v>0</v>
      </c>
      <c r="G182" s="496">
        <v>0</v>
      </c>
      <c r="H182" s="497">
        <v>190</v>
      </c>
      <c r="I182" s="497">
        <v>3382.5</v>
      </c>
      <c r="J182" s="497">
        <v>874.5</v>
      </c>
      <c r="K182" s="497">
        <v>0</v>
      </c>
      <c r="L182" s="497">
        <v>0</v>
      </c>
      <c r="M182" s="497">
        <v>74.58</v>
      </c>
      <c r="N182" s="497">
        <v>0</v>
      </c>
      <c r="O182" s="497">
        <v>0</v>
      </c>
      <c r="P182" s="497">
        <v>4521.58</v>
      </c>
    </row>
    <row r="183" spans="1:16">
      <c r="A183" s="494" t="s">
        <v>780</v>
      </c>
      <c r="B183" s="495">
        <v>29</v>
      </c>
      <c r="C183" s="496">
        <v>560448</v>
      </c>
      <c r="D183" s="496">
        <v>-213786</v>
      </c>
      <c r="E183" s="496">
        <v>2732</v>
      </c>
      <c r="F183" s="496">
        <v>1472.0900000000001</v>
      </c>
      <c r="G183" s="496">
        <v>1224</v>
      </c>
      <c r="H183" s="497">
        <v>183600</v>
      </c>
      <c r="I183" s="497">
        <v>2331463.6800000002</v>
      </c>
      <c r="J183" s="497">
        <v>594074.88</v>
      </c>
      <c r="K183" s="497">
        <v>-46067.69</v>
      </c>
      <c r="L183" s="497">
        <v>141734.45999999996</v>
      </c>
      <c r="M183" s="497">
        <v>50664.49</v>
      </c>
      <c r="N183" s="497">
        <v>-184137.74000000002</v>
      </c>
      <c r="O183" s="497">
        <v>4023</v>
      </c>
      <c r="P183" s="497">
        <v>3075355.0800000005</v>
      </c>
    </row>
    <row r="184" spans="1:16" ht="15">
      <c r="A184" s="481"/>
      <c r="B184" s="482">
        <f>SUM(B179:B183)</f>
        <v>107</v>
      </c>
      <c r="C184" s="498">
        <f>SUM(C179:C183)</f>
        <v>6384522.2999999998</v>
      </c>
      <c r="D184" s="499">
        <f>SUM(D179:D183)</f>
        <v>-500396</v>
      </c>
      <c r="E184" s="498">
        <f t="shared" ref="E184:P184" si="60">SUM(E179:E183)</f>
        <v>27540</v>
      </c>
      <c r="F184" s="498">
        <f t="shared" si="60"/>
        <v>15962.22</v>
      </c>
      <c r="G184" s="498">
        <f t="shared" si="60"/>
        <v>17454</v>
      </c>
      <c r="H184" s="498">
        <f t="shared" si="60"/>
        <v>3272620</v>
      </c>
      <c r="I184" s="498">
        <f t="shared" si="60"/>
        <v>26229646.84</v>
      </c>
      <c r="J184" s="498">
        <f t="shared" si="60"/>
        <v>6767593.6379999993</v>
      </c>
      <c r="K184" s="498">
        <f t="shared" si="60"/>
        <v>-488834.62</v>
      </c>
      <c r="L184" s="498">
        <f t="shared" si="60"/>
        <v>2491654.2600000002</v>
      </c>
      <c r="M184" s="498">
        <f t="shared" si="60"/>
        <v>577160.84</v>
      </c>
      <c r="N184" s="498">
        <f t="shared" si="60"/>
        <v>-1507951.3200000003</v>
      </c>
      <c r="O184" s="498">
        <f t="shared" si="60"/>
        <v>54627.600000000006</v>
      </c>
      <c r="P184" s="498">
        <f t="shared" si="60"/>
        <v>37396517.237999998</v>
      </c>
    </row>
    <row r="185" spans="1:16">
      <c r="A185" s="462">
        <v>42705</v>
      </c>
    </row>
    <row r="186" spans="1:16" ht="30">
      <c r="A186" s="476" t="s">
        <v>771</v>
      </c>
      <c r="B186" s="476" t="s">
        <v>772</v>
      </c>
      <c r="C186" s="476" t="s">
        <v>773</v>
      </c>
      <c r="D186" s="476" t="s">
        <v>828</v>
      </c>
      <c r="E186" s="476" t="s">
        <v>829</v>
      </c>
      <c r="F186" s="476" t="s">
        <v>830</v>
      </c>
      <c r="G186" s="476" t="s">
        <v>831</v>
      </c>
      <c r="H186" s="476" t="s">
        <v>832</v>
      </c>
      <c r="I186" s="476" t="s">
        <v>833</v>
      </c>
      <c r="J186" s="476" t="s">
        <v>834</v>
      </c>
      <c r="K186" s="476" t="s">
        <v>835</v>
      </c>
      <c r="L186" s="476" t="s">
        <v>837</v>
      </c>
      <c r="M186" s="476" t="s">
        <v>838</v>
      </c>
      <c r="N186" s="476" t="s">
        <v>839</v>
      </c>
      <c r="O186" s="476" t="s">
        <v>840</v>
      </c>
      <c r="P186" s="476" t="s">
        <v>841</v>
      </c>
    </row>
    <row r="187" spans="1:16">
      <c r="A187" s="494" t="s">
        <v>776</v>
      </c>
      <c r="B187" s="495">
        <v>43</v>
      </c>
      <c r="C187" s="496">
        <v>5861570</v>
      </c>
      <c r="D187" s="496">
        <v>24052</v>
      </c>
      <c r="E187" s="496">
        <v>24543</v>
      </c>
      <c r="F187" s="496">
        <v>15055.000000000002</v>
      </c>
      <c r="G187" s="496">
        <v>16599</v>
      </c>
      <c r="H187" s="497">
        <v>3153810</v>
      </c>
      <c r="I187" s="497">
        <v>24032437.000000007</v>
      </c>
      <c r="J187" s="497">
        <v>6213264.2000000002</v>
      </c>
      <c r="K187" s="497">
        <v>-877309.90000000014</v>
      </c>
      <c r="L187" s="497">
        <v>2254290.5700000003</v>
      </c>
      <c r="M187" s="497">
        <v>529885.95999999985</v>
      </c>
      <c r="N187" s="497">
        <v>-1540728.15</v>
      </c>
      <c r="O187" s="497">
        <v>36172.199999999997</v>
      </c>
      <c r="P187" s="497">
        <v>33801821.88000001</v>
      </c>
    </row>
    <row r="188" spans="1:16">
      <c r="A188" s="494" t="s">
        <v>777</v>
      </c>
      <c r="B188" s="495">
        <v>27</v>
      </c>
      <c r="C188" s="496">
        <v>43755.7</v>
      </c>
      <c r="D188" s="496">
        <v>294</v>
      </c>
      <c r="E188" s="496">
        <v>0</v>
      </c>
      <c r="F188" s="496">
        <v>0</v>
      </c>
      <c r="G188" s="496">
        <v>0</v>
      </c>
      <c r="H188" s="497">
        <v>5130</v>
      </c>
      <c r="I188" s="497">
        <v>188149.50999999998</v>
      </c>
      <c r="J188" s="497">
        <v>46381.041999999994</v>
      </c>
      <c r="K188" s="497">
        <v>0</v>
      </c>
      <c r="L188" s="497">
        <v>50328.709999999985</v>
      </c>
      <c r="M188" s="497">
        <v>3955.49</v>
      </c>
      <c r="N188" s="497">
        <v>0</v>
      </c>
      <c r="O188" s="497">
        <v>0</v>
      </c>
      <c r="P188" s="497">
        <v>293944.75199999998</v>
      </c>
    </row>
    <row r="189" spans="1:16">
      <c r="A189" s="494" t="s">
        <v>778</v>
      </c>
      <c r="B189" s="495">
        <v>8</v>
      </c>
      <c r="C189" s="496">
        <v>47200.5</v>
      </c>
      <c r="D189" s="496">
        <v>305</v>
      </c>
      <c r="E189" s="496">
        <v>305</v>
      </c>
      <c r="F189" s="496">
        <v>147.28</v>
      </c>
      <c r="G189" s="496">
        <v>150</v>
      </c>
      <c r="H189" s="497">
        <v>28500</v>
      </c>
      <c r="I189" s="497">
        <v>205322.18</v>
      </c>
      <c r="J189" s="497">
        <v>50032.53</v>
      </c>
      <c r="K189" s="497">
        <v>-3941.9100000000003</v>
      </c>
      <c r="L189" s="497">
        <v>60096.000000000007</v>
      </c>
      <c r="M189" s="497">
        <v>4266.93</v>
      </c>
      <c r="N189" s="497">
        <v>-563.33999999999992</v>
      </c>
      <c r="O189" s="497">
        <v>6258.6</v>
      </c>
      <c r="P189" s="497">
        <v>349970.99</v>
      </c>
    </row>
    <row r="190" spans="1:16">
      <c r="A190" s="494" t="s">
        <v>779</v>
      </c>
      <c r="B190" s="495">
        <v>1</v>
      </c>
      <c r="C190" s="496">
        <v>685.3</v>
      </c>
      <c r="D190" s="496">
        <v>20</v>
      </c>
      <c r="E190" s="496">
        <v>0</v>
      </c>
      <c r="F190" s="496">
        <v>0</v>
      </c>
      <c r="G190" s="496">
        <v>0</v>
      </c>
      <c r="H190" s="497">
        <v>190</v>
      </c>
      <c r="I190" s="497">
        <v>2809.73</v>
      </c>
      <c r="J190" s="497">
        <v>726.41800000000001</v>
      </c>
      <c r="K190" s="497">
        <v>0</v>
      </c>
      <c r="L190" s="497">
        <v>0</v>
      </c>
      <c r="M190" s="497">
        <v>61.95</v>
      </c>
      <c r="N190" s="497">
        <v>0</v>
      </c>
      <c r="O190" s="497">
        <v>0</v>
      </c>
      <c r="P190" s="497">
        <v>3788.098</v>
      </c>
    </row>
    <row r="191" spans="1:16">
      <c r="A191" s="494" t="s">
        <v>780</v>
      </c>
      <c r="B191" s="495">
        <v>26</v>
      </c>
      <c r="C191" s="496">
        <v>574174</v>
      </c>
      <c r="D191" s="496">
        <v>2843</v>
      </c>
      <c r="E191" s="496">
        <v>2517</v>
      </c>
      <c r="F191" s="496">
        <v>1396.4000000000008</v>
      </c>
      <c r="G191" s="496">
        <v>1127</v>
      </c>
      <c r="H191" s="497">
        <v>169050</v>
      </c>
      <c r="I191" s="497">
        <v>2388563.8400000003</v>
      </c>
      <c r="J191" s="497">
        <v>608624.44000000018</v>
      </c>
      <c r="K191" s="497">
        <v>-86311.479999999981</v>
      </c>
      <c r="L191" s="497">
        <v>248322.85000000006</v>
      </c>
      <c r="M191" s="497">
        <v>51905.340000000011</v>
      </c>
      <c r="N191" s="497">
        <v>-186127.80000000002</v>
      </c>
      <c r="O191" s="497">
        <v>5238</v>
      </c>
      <c r="P191" s="497">
        <v>3199265.1899999995</v>
      </c>
    </row>
    <row r="192" spans="1:16" ht="15">
      <c r="A192" s="481"/>
      <c r="B192" s="482">
        <f>SUM(B187:B191)</f>
        <v>105</v>
      </c>
      <c r="C192" s="498">
        <f>SUM(C187:C191)</f>
        <v>6527385.5</v>
      </c>
      <c r="D192" s="499">
        <f>SUM(D187:D191)</f>
        <v>27514</v>
      </c>
      <c r="E192" s="498">
        <f t="shared" ref="E192:P192" si="61">SUM(E187:E191)</f>
        <v>27365</v>
      </c>
      <c r="F192" s="498">
        <f t="shared" si="61"/>
        <v>16598.680000000004</v>
      </c>
      <c r="G192" s="498">
        <f t="shared" si="61"/>
        <v>17876</v>
      </c>
      <c r="H192" s="498">
        <f t="shared" si="61"/>
        <v>3356680</v>
      </c>
      <c r="I192" s="498">
        <f t="shared" si="61"/>
        <v>26817282.260000009</v>
      </c>
      <c r="J192" s="498">
        <f t="shared" si="61"/>
        <v>6919028.6300000008</v>
      </c>
      <c r="K192" s="498">
        <f t="shared" si="61"/>
        <v>-967563.29000000015</v>
      </c>
      <c r="L192" s="498">
        <f t="shared" si="61"/>
        <v>2613038.1300000004</v>
      </c>
      <c r="M192" s="498">
        <f t="shared" si="61"/>
        <v>590075.66999999981</v>
      </c>
      <c r="N192" s="498">
        <f t="shared" si="61"/>
        <v>-1727419.29</v>
      </c>
      <c r="O192" s="498">
        <f t="shared" si="61"/>
        <v>47668.799999999996</v>
      </c>
      <c r="P192" s="498">
        <f t="shared" si="61"/>
        <v>37648790.910000004</v>
      </c>
    </row>
    <row r="193" spans="1:17">
      <c r="A193" s="462">
        <v>42736</v>
      </c>
    </row>
    <row r="194" spans="1:17" ht="30">
      <c r="A194" s="476" t="s">
        <v>771</v>
      </c>
      <c r="B194" s="476" t="s">
        <v>772</v>
      </c>
      <c r="C194" s="476" t="s">
        <v>773</v>
      </c>
      <c r="D194" s="476" t="s">
        <v>828</v>
      </c>
      <c r="E194" s="476" t="s">
        <v>829</v>
      </c>
      <c r="F194" s="476" t="s">
        <v>830</v>
      </c>
      <c r="G194" s="476" t="s">
        <v>831</v>
      </c>
      <c r="H194" s="476" t="s">
        <v>832</v>
      </c>
      <c r="I194" s="476" t="s">
        <v>833</v>
      </c>
      <c r="J194" s="476" t="s">
        <v>834</v>
      </c>
      <c r="K194" s="476" t="s">
        <v>835</v>
      </c>
      <c r="L194" s="476" t="s">
        <v>837</v>
      </c>
      <c r="M194" s="476" t="s">
        <v>838</v>
      </c>
      <c r="N194" s="476" t="s">
        <v>839</v>
      </c>
      <c r="O194" s="476" t="s">
        <v>840</v>
      </c>
      <c r="P194" s="476" t="s">
        <v>841</v>
      </c>
      <c r="Q194" s="476" t="s">
        <v>836</v>
      </c>
    </row>
    <row r="195" spans="1:17">
      <c r="A195" s="494" t="s">
        <v>776</v>
      </c>
      <c r="B195" s="495">
        <v>43</v>
      </c>
      <c r="C195" s="496">
        <v>5648620</v>
      </c>
      <c r="D195" s="496">
        <v>-1127824</v>
      </c>
      <c r="E195" s="496">
        <v>24543</v>
      </c>
      <c r="F195" s="496">
        <v>14650.639999999998</v>
      </c>
      <c r="G195" s="496">
        <v>16250</v>
      </c>
      <c r="H195" s="497">
        <v>3087500</v>
      </c>
      <c r="I195" s="497">
        <v>23159341.999999996</v>
      </c>
      <c r="J195" s="497">
        <v>5987537.2000000011</v>
      </c>
      <c r="K195" s="497">
        <v>-492901.1399999999</v>
      </c>
      <c r="L195" s="497">
        <v>2131130.19</v>
      </c>
      <c r="M195" s="497">
        <v>510635.24999999994</v>
      </c>
      <c r="N195" s="497">
        <v>-1552924.7999999998</v>
      </c>
      <c r="O195" s="497">
        <v>38497.800000000003</v>
      </c>
      <c r="P195" s="497">
        <v>31795578.700000007</v>
      </c>
      <c r="Q195" s="497">
        <v>-1073237.8</v>
      </c>
    </row>
    <row r="196" spans="1:17">
      <c r="A196" s="494" t="s">
        <v>777</v>
      </c>
      <c r="B196" s="495">
        <v>27</v>
      </c>
      <c r="C196" s="496">
        <v>44017.1</v>
      </c>
      <c r="D196" s="496">
        <v>0</v>
      </c>
      <c r="E196" s="496">
        <v>0</v>
      </c>
      <c r="F196" s="496">
        <v>0</v>
      </c>
      <c r="G196" s="496">
        <v>0</v>
      </c>
      <c r="H196" s="497">
        <v>5130</v>
      </c>
      <c r="I196" s="497">
        <v>189273.52999999994</v>
      </c>
      <c r="J196" s="497">
        <v>46658.126000000011</v>
      </c>
      <c r="K196" s="497">
        <v>0</v>
      </c>
      <c r="L196" s="497">
        <v>48866.68</v>
      </c>
      <c r="M196" s="497">
        <v>3979.139999999999</v>
      </c>
      <c r="N196" s="497">
        <v>0</v>
      </c>
      <c r="O196" s="497">
        <v>0</v>
      </c>
      <c r="P196" s="497">
        <v>285544.19600000005</v>
      </c>
      <c r="Q196" s="497">
        <v>-8363.2800000000007</v>
      </c>
    </row>
    <row r="197" spans="1:17">
      <c r="A197" s="494" t="s">
        <v>778</v>
      </c>
      <c r="B197" s="495">
        <v>8</v>
      </c>
      <c r="C197" s="496">
        <v>48232</v>
      </c>
      <c r="D197" s="496">
        <v>0</v>
      </c>
      <c r="E197" s="496">
        <v>305</v>
      </c>
      <c r="F197" s="496">
        <v>168.41</v>
      </c>
      <c r="G197" s="496">
        <v>164</v>
      </c>
      <c r="H197" s="497">
        <v>31160</v>
      </c>
      <c r="I197" s="497">
        <v>209809.2</v>
      </c>
      <c r="J197" s="497">
        <v>51125.919999999998</v>
      </c>
      <c r="K197" s="497">
        <v>-2789.5699999999997</v>
      </c>
      <c r="L197" s="497">
        <v>62488.08</v>
      </c>
      <c r="M197" s="497">
        <v>4360.1499999999996</v>
      </c>
      <c r="N197" s="497">
        <v>-2496.7300000000005</v>
      </c>
      <c r="O197" s="497">
        <v>20314.8</v>
      </c>
      <c r="P197" s="497">
        <v>361913.85</v>
      </c>
      <c r="Q197" s="497">
        <v>-12058</v>
      </c>
    </row>
    <row r="198" spans="1:17">
      <c r="A198" s="494" t="s">
        <v>779</v>
      </c>
      <c r="B198" s="495">
        <v>1</v>
      </c>
      <c r="C198" s="496">
        <v>637.1</v>
      </c>
      <c r="D198" s="496">
        <v>0</v>
      </c>
      <c r="E198" s="496">
        <v>0</v>
      </c>
      <c r="F198" s="496">
        <v>0</v>
      </c>
      <c r="G198" s="496">
        <v>0</v>
      </c>
      <c r="H198" s="497">
        <v>190</v>
      </c>
      <c r="I198" s="497">
        <v>2612.11</v>
      </c>
      <c r="J198" s="497">
        <v>675.32600000000002</v>
      </c>
      <c r="K198" s="497">
        <v>0</v>
      </c>
      <c r="L198" s="497">
        <v>0</v>
      </c>
      <c r="M198" s="497">
        <v>57.59</v>
      </c>
      <c r="N198" s="497">
        <v>0</v>
      </c>
      <c r="O198" s="497">
        <v>0</v>
      </c>
      <c r="P198" s="497">
        <v>3420.3460000000005</v>
      </c>
      <c r="Q198" s="497">
        <v>-114.68</v>
      </c>
    </row>
    <row r="199" spans="1:17">
      <c r="A199" s="494" t="s">
        <v>780</v>
      </c>
      <c r="B199" s="495">
        <v>28</v>
      </c>
      <c r="C199" s="496">
        <v>562696</v>
      </c>
      <c r="D199" s="496">
        <v>0</v>
      </c>
      <c r="E199" s="496">
        <v>2637</v>
      </c>
      <c r="F199" s="496">
        <v>1413.6800000000003</v>
      </c>
      <c r="G199" s="496">
        <v>1173</v>
      </c>
      <c r="H199" s="497">
        <v>175950</v>
      </c>
      <c r="I199" s="497">
        <v>2340815.36</v>
      </c>
      <c r="J199" s="497">
        <v>596457.76000000013</v>
      </c>
      <c r="K199" s="497">
        <v>-50373.039999999994</v>
      </c>
      <c r="L199" s="497">
        <v>239867.65</v>
      </c>
      <c r="M199" s="497">
        <v>50867.73</v>
      </c>
      <c r="N199" s="497">
        <v>-180273.47999999998</v>
      </c>
      <c r="O199" s="497">
        <v>5526</v>
      </c>
      <c r="P199" s="497">
        <v>3071925.7399999988</v>
      </c>
      <c r="Q199" s="497">
        <v>-106912.24</v>
      </c>
    </row>
    <row r="200" spans="1:17" ht="15">
      <c r="A200" s="481"/>
      <c r="B200" s="482">
        <f>SUM(B195:B199)</f>
        <v>107</v>
      </c>
      <c r="C200" s="498">
        <f>SUM(C195:C199)</f>
        <v>6304202.1999999993</v>
      </c>
      <c r="D200" s="499">
        <f>SUM(D195:D199)</f>
        <v>-1127824</v>
      </c>
      <c r="E200" s="498">
        <f t="shared" ref="E200:J200" si="62">SUM(E195:E199)</f>
        <v>27485</v>
      </c>
      <c r="F200" s="498">
        <f t="shared" si="62"/>
        <v>16232.729999999998</v>
      </c>
      <c r="G200" s="498">
        <f t="shared" si="62"/>
        <v>17587</v>
      </c>
      <c r="H200" s="498">
        <f t="shared" si="62"/>
        <v>3299930</v>
      </c>
      <c r="I200" s="498">
        <f t="shared" si="62"/>
        <v>25901852.199999996</v>
      </c>
      <c r="J200" s="498">
        <f t="shared" si="62"/>
        <v>6682454.3320000013</v>
      </c>
      <c r="K200" s="498">
        <f t="shared" ref="K200:Q200" si="63">SUM(K195:K199)</f>
        <v>-546063.74999999988</v>
      </c>
      <c r="L200" s="498">
        <f t="shared" si="63"/>
        <v>2482352.6</v>
      </c>
      <c r="M200" s="498">
        <f t="shared" si="63"/>
        <v>569899.86</v>
      </c>
      <c r="N200" s="498">
        <f t="shared" si="63"/>
        <v>-1735695.0099999998</v>
      </c>
      <c r="O200" s="498">
        <f t="shared" si="63"/>
        <v>64338.600000000006</v>
      </c>
      <c r="P200" s="498">
        <f t="shared" si="63"/>
        <v>35518382.83200001</v>
      </c>
      <c r="Q200" s="498">
        <f t="shared" si="63"/>
        <v>-1200686</v>
      </c>
    </row>
    <row r="201" spans="1:17">
      <c r="A201" s="462">
        <v>42767</v>
      </c>
    </row>
    <row r="202" spans="1:17" ht="30">
      <c r="A202" s="476" t="s">
        <v>771</v>
      </c>
      <c r="B202" s="476" t="s">
        <v>772</v>
      </c>
      <c r="C202" s="476" t="s">
        <v>773</v>
      </c>
      <c r="D202" s="476" t="s">
        <v>828</v>
      </c>
      <c r="E202" s="476" t="s">
        <v>829</v>
      </c>
      <c r="F202" s="476" t="s">
        <v>830</v>
      </c>
      <c r="G202" s="476" t="s">
        <v>831</v>
      </c>
      <c r="H202" s="476" t="s">
        <v>832</v>
      </c>
      <c r="I202" s="476" t="s">
        <v>833</v>
      </c>
      <c r="J202" s="476" t="s">
        <v>834</v>
      </c>
      <c r="K202" s="476" t="s">
        <v>835</v>
      </c>
      <c r="L202" s="476" t="s">
        <v>837</v>
      </c>
      <c r="M202" s="476" t="s">
        <v>838</v>
      </c>
      <c r="N202" s="476" t="s">
        <v>839</v>
      </c>
      <c r="O202" s="476" t="s">
        <v>840</v>
      </c>
      <c r="P202" s="476" t="s">
        <v>841</v>
      </c>
      <c r="Q202" s="476" t="s">
        <v>836</v>
      </c>
    </row>
    <row r="203" spans="1:17">
      <c r="A203" s="494" t="s">
        <v>776</v>
      </c>
      <c r="B203" s="495">
        <v>42</v>
      </c>
      <c r="C203" s="496">
        <v>5463801.5999999996</v>
      </c>
      <c r="D203" s="496">
        <v>-228421.4</v>
      </c>
      <c r="E203" s="496">
        <v>23993</v>
      </c>
      <c r="F203" s="496">
        <v>15356.320000000002</v>
      </c>
      <c r="G203" s="496">
        <v>16450</v>
      </c>
      <c r="H203" s="497">
        <v>3125500</v>
      </c>
      <c r="I203" s="497">
        <v>22401586.559999995</v>
      </c>
      <c r="J203" s="497">
        <v>5791629.6960000014</v>
      </c>
      <c r="K203" s="497">
        <v>4425679.3</v>
      </c>
      <c r="L203" s="497">
        <v>2454633.0599999996</v>
      </c>
      <c r="M203" s="497">
        <v>493927.66999999993</v>
      </c>
      <c r="N203" s="497">
        <v>-1697760.4300000002</v>
      </c>
      <c r="O203" s="497">
        <v>39318.6</v>
      </c>
      <c r="P203" s="497">
        <v>36591202.836000003</v>
      </c>
      <c r="Q203" s="497">
        <v>-443311.62</v>
      </c>
    </row>
    <row r="204" spans="1:17">
      <c r="A204" s="494" t="s">
        <v>777</v>
      </c>
      <c r="B204" s="495">
        <v>28</v>
      </c>
      <c r="C204" s="496">
        <v>39927.379999999997</v>
      </c>
      <c r="D204" s="496">
        <v>0</v>
      </c>
      <c r="E204" s="496">
        <v>0</v>
      </c>
      <c r="F204" s="496">
        <v>0</v>
      </c>
      <c r="G204" s="496">
        <v>0</v>
      </c>
      <c r="H204" s="497">
        <v>5320</v>
      </c>
      <c r="I204" s="497">
        <v>171687.73</v>
      </c>
      <c r="J204" s="497">
        <v>42323.022800000013</v>
      </c>
      <c r="K204" s="497">
        <v>31941.9</v>
      </c>
      <c r="L204" s="497">
        <v>52767.25</v>
      </c>
      <c r="M204" s="497">
        <v>3609.4200000000005</v>
      </c>
      <c r="N204" s="497">
        <v>0</v>
      </c>
      <c r="O204" s="497">
        <v>0</v>
      </c>
      <c r="P204" s="497">
        <v>307649.32280000002</v>
      </c>
      <c r="Q204" s="497">
        <v>0</v>
      </c>
    </row>
    <row r="205" spans="1:17">
      <c r="A205" s="494" t="s">
        <v>778</v>
      </c>
      <c r="B205" s="495">
        <v>8</v>
      </c>
      <c r="C205" s="496">
        <v>44966.8</v>
      </c>
      <c r="D205" s="496">
        <v>0</v>
      </c>
      <c r="E205" s="496">
        <v>305</v>
      </c>
      <c r="F205" s="496">
        <v>167.57000000000002</v>
      </c>
      <c r="G205" s="496">
        <v>161</v>
      </c>
      <c r="H205" s="497">
        <v>30590</v>
      </c>
      <c r="I205" s="497">
        <v>195605.59</v>
      </c>
      <c r="J205" s="497">
        <v>47664.808000000005</v>
      </c>
      <c r="K205" s="497">
        <v>47215.15</v>
      </c>
      <c r="L205" s="497">
        <v>69093.009999999995</v>
      </c>
      <c r="M205" s="497">
        <v>4064.99</v>
      </c>
      <c r="N205" s="497">
        <v>-4284.8899999999994</v>
      </c>
      <c r="O205" s="497">
        <v>10636.2</v>
      </c>
      <c r="P205" s="497">
        <v>397887.42800000001</v>
      </c>
      <c r="Q205" s="497">
        <v>-2697.4300000000003</v>
      </c>
    </row>
    <row r="206" spans="1:17">
      <c r="A206" s="494" t="s">
        <v>779</v>
      </c>
      <c r="B206" s="495">
        <v>1</v>
      </c>
      <c r="C206" s="496">
        <v>594.1</v>
      </c>
      <c r="D206" s="496">
        <v>0</v>
      </c>
      <c r="E206" s="496">
        <v>0</v>
      </c>
      <c r="F206" s="496">
        <v>0</v>
      </c>
      <c r="G206" s="496">
        <v>0</v>
      </c>
      <c r="H206" s="497">
        <v>190</v>
      </c>
      <c r="I206" s="497">
        <v>2435.81</v>
      </c>
      <c r="J206" s="497">
        <v>629.74600000000009</v>
      </c>
      <c r="K206" s="497">
        <v>451.52</v>
      </c>
      <c r="L206" s="497">
        <v>0</v>
      </c>
      <c r="M206" s="497">
        <v>53.71</v>
      </c>
      <c r="N206" s="497">
        <v>0</v>
      </c>
      <c r="O206" s="497">
        <v>0</v>
      </c>
      <c r="P206" s="497">
        <v>3760.7860000000001</v>
      </c>
      <c r="Q206" s="497">
        <v>0</v>
      </c>
    </row>
    <row r="207" spans="1:17">
      <c r="A207" s="494" t="s">
        <v>780</v>
      </c>
      <c r="B207" s="495">
        <v>28</v>
      </c>
      <c r="C207" s="496">
        <v>532300.57000000007</v>
      </c>
      <c r="D207" s="496">
        <v>144.57</v>
      </c>
      <c r="E207" s="496">
        <v>2637</v>
      </c>
      <c r="F207" s="496">
        <v>1434.5599999999995</v>
      </c>
      <c r="G207" s="496">
        <v>1181</v>
      </c>
      <c r="H207" s="497">
        <v>177150</v>
      </c>
      <c r="I207" s="497">
        <v>2214370.37</v>
      </c>
      <c r="J207" s="497">
        <v>564238.60420000006</v>
      </c>
      <c r="K207" s="497">
        <v>436486.47000000003</v>
      </c>
      <c r="L207" s="497">
        <v>270879.74999999994</v>
      </c>
      <c r="M207" s="497">
        <v>48119.98000000001</v>
      </c>
      <c r="N207" s="497">
        <v>-207601.14</v>
      </c>
      <c r="O207" s="497">
        <v>5733</v>
      </c>
      <c r="P207" s="497">
        <v>3461757.8342000009</v>
      </c>
      <c r="Q207" s="497">
        <v>-47619.199999999997</v>
      </c>
    </row>
    <row r="208" spans="1:17" ht="15">
      <c r="A208" s="481"/>
      <c r="B208" s="482">
        <f>SUM(B203:B207)</f>
        <v>107</v>
      </c>
      <c r="C208" s="498">
        <f>SUM(C203:C207)</f>
        <v>6081590.4499999993</v>
      </c>
      <c r="D208" s="499">
        <f>SUM(D203:D207)</f>
        <v>-228276.83</v>
      </c>
      <c r="E208" s="498">
        <f t="shared" ref="E208:J208" si="64">SUM(E203:E207)</f>
        <v>26935</v>
      </c>
      <c r="F208" s="498">
        <f t="shared" si="64"/>
        <v>16958.45</v>
      </c>
      <c r="G208" s="498">
        <f t="shared" si="64"/>
        <v>17792</v>
      </c>
      <c r="H208" s="498">
        <f t="shared" si="64"/>
        <v>3338750</v>
      </c>
      <c r="I208" s="498">
        <f t="shared" si="64"/>
        <v>24985686.059999995</v>
      </c>
      <c r="J208" s="498">
        <f t="shared" si="64"/>
        <v>6446485.8770000022</v>
      </c>
      <c r="K208" s="498">
        <f t="shared" ref="K208:P208" si="65">SUM(K203:K207)</f>
        <v>4941774.34</v>
      </c>
      <c r="L208" s="498">
        <f t="shared" si="65"/>
        <v>2847373.0699999994</v>
      </c>
      <c r="M208" s="498">
        <f t="shared" si="65"/>
        <v>549775.7699999999</v>
      </c>
      <c r="N208" s="498">
        <f t="shared" si="65"/>
        <v>-1909646.46</v>
      </c>
      <c r="O208" s="498">
        <f t="shared" si="65"/>
        <v>55687.8</v>
      </c>
      <c r="P208" s="498">
        <f t="shared" si="65"/>
        <v>40762258.20700001</v>
      </c>
      <c r="Q208" s="498">
        <f t="shared" ref="Q208" si="66">SUM(Q203:Q207)</f>
        <v>-493628.25</v>
      </c>
    </row>
    <row r="209" spans="1:23">
      <c r="A209" s="462">
        <v>42795</v>
      </c>
    </row>
    <row r="210" spans="1:23" ht="30">
      <c r="A210" s="476" t="s">
        <v>771</v>
      </c>
      <c r="B210" s="476" t="s">
        <v>772</v>
      </c>
      <c r="C210" s="476" t="s">
        <v>773</v>
      </c>
      <c r="D210" s="476" t="s">
        <v>828</v>
      </c>
      <c r="E210" s="476" t="s">
        <v>829</v>
      </c>
      <c r="F210" s="476" t="s">
        <v>830</v>
      </c>
      <c r="G210" s="476" t="s">
        <v>831</v>
      </c>
      <c r="H210" s="476" t="s">
        <v>832</v>
      </c>
      <c r="I210" s="476" t="s">
        <v>833</v>
      </c>
      <c r="J210" s="476" t="s">
        <v>834</v>
      </c>
      <c r="K210" s="476" t="s">
        <v>835</v>
      </c>
      <c r="L210" s="476" t="s">
        <v>837</v>
      </c>
      <c r="M210" s="476" t="s">
        <v>838</v>
      </c>
      <c r="N210" s="476" t="s">
        <v>839</v>
      </c>
      <c r="O210" s="476" t="s">
        <v>840</v>
      </c>
      <c r="P210" s="476" t="s">
        <v>841</v>
      </c>
      <c r="Q210" s="476" t="s">
        <v>836</v>
      </c>
    </row>
    <row r="211" spans="1:23">
      <c r="A211" s="494" t="s">
        <v>776</v>
      </c>
      <c r="B211" s="495">
        <v>42</v>
      </c>
      <c r="C211" s="496">
        <v>6495053.3900000006</v>
      </c>
      <c r="D211" s="496">
        <v>-865140.88</v>
      </c>
      <c r="E211" s="496">
        <v>23993</v>
      </c>
      <c r="F211" s="496">
        <v>17196.560000000001</v>
      </c>
      <c r="G211" s="496">
        <v>17889</v>
      </c>
      <c r="H211" s="497">
        <v>3398910</v>
      </c>
      <c r="I211" s="497">
        <v>26629718.91</v>
      </c>
      <c r="J211" s="497">
        <v>6884756.5933999997</v>
      </c>
      <c r="K211" s="497">
        <v>5260993.25</v>
      </c>
      <c r="L211" s="497">
        <v>2903648.0599999996</v>
      </c>
      <c r="M211" s="497">
        <v>587152.84</v>
      </c>
      <c r="N211" s="497">
        <v>-1630472.9999999998</v>
      </c>
      <c r="O211" s="497">
        <v>38862.6</v>
      </c>
      <c r="P211" s="497">
        <v>43539358.763400003</v>
      </c>
      <c r="Q211" s="497">
        <v>-534210.49000000011</v>
      </c>
    </row>
    <row r="212" spans="1:23">
      <c r="A212" s="478" t="s">
        <v>850</v>
      </c>
      <c r="B212" s="495"/>
      <c r="C212" s="496"/>
      <c r="D212" s="496"/>
      <c r="E212" s="496"/>
      <c r="F212" s="496"/>
      <c r="G212" s="496"/>
      <c r="H212" s="497"/>
      <c r="I212" s="497"/>
      <c r="J212" s="497"/>
      <c r="K212" s="497"/>
      <c r="L212" s="497"/>
      <c r="M212" s="497"/>
      <c r="N212" s="497"/>
      <c r="O212" s="497"/>
      <c r="P212" s="497"/>
      <c r="Q212" s="497"/>
    </row>
    <row r="213" spans="1:23">
      <c r="A213" s="494" t="s">
        <v>777</v>
      </c>
      <c r="B213" s="495">
        <v>27</v>
      </c>
      <c r="C213" s="496">
        <v>46844.600000000013</v>
      </c>
      <c r="D213" s="496">
        <v>0</v>
      </c>
      <c r="E213" s="496">
        <v>0</v>
      </c>
      <c r="F213" s="496">
        <v>0</v>
      </c>
      <c r="G213" s="496">
        <v>0</v>
      </c>
      <c r="H213" s="497">
        <v>5130</v>
      </c>
      <c r="I213" s="497">
        <v>201431.78000000003</v>
      </c>
      <c r="J213" s="497">
        <v>49655.276000000005</v>
      </c>
      <c r="K213" s="497">
        <v>37475.679999999993</v>
      </c>
      <c r="L213" s="497">
        <v>61675.45</v>
      </c>
      <c r="M213" s="497">
        <v>4234.7500000000009</v>
      </c>
      <c r="N213" s="497">
        <v>0</v>
      </c>
      <c r="O213" s="497">
        <v>0</v>
      </c>
      <c r="P213" s="497">
        <v>359602.93600000005</v>
      </c>
      <c r="Q213" s="497">
        <v>0</v>
      </c>
    </row>
    <row r="214" spans="1:23">
      <c r="A214" s="494" t="s">
        <v>778</v>
      </c>
      <c r="B214" s="495">
        <v>8</v>
      </c>
      <c r="C214" s="496">
        <v>57446.3</v>
      </c>
      <c r="D214" s="496">
        <v>0</v>
      </c>
      <c r="E214" s="496">
        <v>305</v>
      </c>
      <c r="F214" s="496">
        <v>187.51</v>
      </c>
      <c r="G214" s="496">
        <v>172</v>
      </c>
      <c r="H214" s="497">
        <v>32680</v>
      </c>
      <c r="I214" s="497">
        <v>249891.41</v>
      </c>
      <c r="J214" s="497">
        <v>60893.078000000001</v>
      </c>
      <c r="K214" s="497">
        <v>60318.62000000001</v>
      </c>
      <c r="L214" s="497">
        <v>87600.3</v>
      </c>
      <c r="M214" s="497">
        <v>5193.1499999999996</v>
      </c>
      <c r="N214" s="497">
        <v>-3318.0600000000004</v>
      </c>
      <c r="O214" s="497">
        <v>14443.8</v>
      </c>
      <c r="P214" s="497">
        <v>506619.728</v>
      </c>
      <c r="Q214" s="497">
        <v>-1082.5699999999997</v>
      </c>
    </row>
    <row r="215" spans="1:23">
      <c r="A215" s="494" t="s">
        <v>779</v>
      </c>
      <c r="B215" s="495">
        <v>1</v>
      </c>
      <c r="C215" s="496">
        <v>637.4</v>
      </c>
      <c r="D215" s="496">
        <v>0</v>
      </c>
      <c r="E215" s="496">
        <v>0</v>
      </c>
      <c r="F215" s="496">
        <v>0</v>
      </c>
      <c r="G215" s="496">
        <v>0</v>
      </c>
      <c r="H215" s="497">
        <v>190</v>
      </c>
      <c r="I215" s="497">
        <v>2613.34</v>
      </c>
      <c r="J215" s="497">
        <v>675.64400000000001</v>
      </c>
      <c r="K215" s="497">
        <v>484.42</v>
      </c>
      <c r="L215" s="497">
        <v>0</v>
      </c>
      <c r="M215" s="497">
        <v>57.62</v>
      </c>
      <c r="N215" s="497">
        <v>0</v>
      </c>
      <c r="O215" s="497">
        <v>0</v>
      </c>
      <c r="P215" s="497">
        <v>4021.0240000000003</v>
      </c>
      <c r="Q215" s="497">
        <v>0</v>
      </c>
    </row>
    <row r="216" spans="1:23">
      <c r="A216" s="494" t="s">
        <v>780</v>
      </c>
      <c r="B216" s="495">
        <v>28</v>
      </c>
      <c r="C216" s="496">
        <v>605646</v>
      </c>
      <c r="D216" s="496">
        <v>36</v>
      </c>
      <c r="E216" s="496">
        <v>2637</v>
      </c>
      <c r="F216" s="496">
        <v>1505.96</v>
      </c>
      <c r="G216" s="496">
        <v>1201</v>
      </c>
      <c r="H216" s="497">
        <v>180150</v>
      </c>
      <c r="I216" s="497">
        <v>2519487.36</v>
      </c>
      <c r="J216" s="497">
        <v>641984.76</v>
      </c>
      <c r="K216" s="497">
        <v>496629.72000000003</v>
      </c>
      <c r="L216" s="497">
        <v>307385.93000000005</v>
      </c>
      <c r="M216" s="497">
        <v>54750.39</v>
      </c>
      <c r="N216" s="497">
        <v>-236809.78999999998</v>
      </c>
      <c r="O216" s="497">
        <v>13212</v>
      </c>
      <c r="P216" s="497">
        <v>3923022.7699999996</v>
      </c>
      <c r="Q216" s="497">
        <v>-53767.599999999977</v>
      </c>
    </row>
    <row r="217" spans="1:23" ht="15">
      <c r="A217" s="481"/>
      <c r="B217" s="482">
        <f>SUM(B211:B216)</f>
        <v>106</v>
      </c>
      <c r="C217" s="498">
        <f>SUM(C211:C216)</f>
        <v>7205627.6900000004</v>
      </c>
      <c r="D217" s="499">
        <f>SUM(D211:D216)</f>
        <v>-865104.88</v>
      </c>
      <c r="E217" s="498">
        <f t="shared" ref="E217:J217" si="67">SUM(E211:E216)</f>
        <v>26935</v>
      </c>
      <c r="F217" s="498">
        <f t="shared" si="67"/>
        <v>18890.03</v>
      </c>
      <c r="G217" s="498">
        <f t="shared" si="67"/>
        <v>19262</v>
      </c>
      <c r="H217" s="498">
        <f t="shared" si="67"/>
        <v>3617060</v>
      </c>
      <c r="I217" s="498">
        <f t="shared" si="67"/>
        <v>29603142.800000001</v>
      </c>
      <c r="J217" s="498">
        <f t="shared" si="67"/>
        <v>7637965.3513999991</v>
      </c>
      <c r="K217" s="498">
        <f t="shared" ref="K217:P217" si="68">SUM(K211:K216)</f>
        <v>5855901.6899999995</v>
      </c>
      <c r="L217" s="498">
        <f t="shared" si="68"/>
        <v>3360309.7399999998</v>
      </c>
      <c r="M217" s="498">
        <f t="shared" si="68"/>
        <v>651388.75</v>
      </c>
      <c r="N217" s="498">
        <f t="shared" si="68"/>
        <v>-1870600.8499999999</v>
      </c>
      <c r="O217" s="498">
        <f t="shared" si="68"/>
        <v>66518.399999999994</v>
      </c>
      <c r="P217" s="498">
        <f t="shared" si="68"/>
        <v>48332625.221399993</v>
      </c>
      <c r="Q217" s="498">
        <f t="shared" ref="Q217" si="69">SUM(Q211:Q216)</f>
        <v>-589060.66</v>
      </c>
    </row>
    <row r="220" spans="1:23" ht="15">
      <c r="A220" s="461" t="s">
        <v>848</v>
      </c>
      <c r="B220" s="460"/>
    </row>
    <row r="221" spans="1:23" s="491" customFormat="1" ht="60">
      <c r="A221" s="489" t="s">
        <v>771</v>
      </c>
      <c r="B221" s="489" t="s">
        <v>772</v>
      </c>
      <c r="C221" s="490" t="s">
        <v>773</v>
      </c>
      <c r="D221" s="490" t="s">
        <v>828</v>
      </c>
      <c r="E221" s="490" t="s">
        <v>829</v>
      </c>
      <c r="F221" s="490" t="s">
        <v>830</v>
      </c>
      <c r="G221" s="490" t="s">
        <v>831</v>
      </c>
      <c r="H221" s="490" t="s">
        <v>832</v>
      </c>
      <c r="I221" s="490" t="s">
        <v>833</v>
      </c>
      <c r="J221" s="490" t="s">
        <v>834</v>
      </c>
      <c r="K221" s="490" t="s">
        <v>835</v>
      </c>
      <c r="L221" s="490" t="s">
        <v>837</v>
      </c>
      <c r="M221" s="490" t="s">
        <v>838</v>
      </c>
      <c r="N221" s="490" t="s">
        <v>839</v>
      </c>
      <c r="O221" s="490" t="s">
        <v>840</v>
      </c>
      <c r="P221" s="490" t="s">
        <v>841</v>
      </c>
      <c r="Q221" s="476" t="s">
        <v>836</v>
      </c>
      <c r="R221" s="554" t="s">
        <v>1110</v>
      </c>
      <c r="T221" s="490" t="s">
        <v>1176</v>
      </c>
      <c r="U221" s="1016" t="s">
        <v>147</v>
      </c>
      <c r="V221" s="1016" t="s">
        <v>148</v>
      </c>
      <c r="W221" s="1016" t="s">
        <v>149</v>
      </c>
    </row>
    <row r="222" spans="1:23">
      <c r="A222" s="478" t="s">
        <v>776</v>
      </c>
      <c r="B222" s="479">
        <f>B211</f>
        <v>42</v>
      </c>
      <c r="C222" s="480">
        <f>C211+C203+C195+C187+C179+C170+C161+C152+C143+C134+C125+C116</f>
        <v>74873302.99000001</v>
      </c>
      <c r="D222" s="480">
        <f t="shared" ref="D222:Q222" si="70">D211+D203+D195+D187+D179+D170+D161+D152+D143+D134+D125+D116</f>
        <v>-2477384.2800000003</v>
      </c>
      <c r="E222" s="480">
        <f t="shared" si="70"/>
        <v>301037</v>
      </c>
      <c r="F222" s="480">
        <f t="shared" si="70"/>
        <v>187147.99999999997</v>
      </c>
      <c r="G222" s="480">
        <f t="shared" si="70"/>
        <v>205716</v>
      </c>
      <c r="H222" s="480">
        <f t="shared" si="70"/>
        <v>39086040</v>
      </c>
      <c r="I222" s="480">
        <f t="shared" si="70"/>
        <v>422109911.13999999</v>
      </c>
      <c r="J222" s="480">
        <f t="shared" si="70"/>
        <v>37428542.749399997</v>
      </c>
      <c r="K222" s="480">
        <f t="shared" si="70"/>
        <v>4440342.46</v>
      </c>
      <c r="L222" s="480">
        <f t="shared" si="70"/>
        <v>36091209.479999997</v>
      </c>
      <c r="M222" s="480">
        <f t="shared" si="70"/>
        <v>6768546.6600000001</v>
      </c>
      <c r="N222" s="480">
        <f t="shared" si="70"/>
        <v>-21328572.77</v>
      </c>
      <c r="O222" s="480">
        <f t="shared" si="70"/>
        <v>532551.00000000012</v>
      </c>
      <c r="P222" s="480">
        <f t="shared" si="70"/>
        <v>523077810.80940008</v>
      </c>
      <c r="Q222" s="480">
        <f t="shared" si="70"/>
        <v>-2050759.9100000001</v>
      </c>
      <c r="R222" s="480">
        <f>I222+J222+N222+O222+K222</f>
        <v>443182774.5794</v>
      </c>
      <c r="T222" s="428">
        <f>+N170+N179+N187+N195+N203+N211</f>
        <v>-8930835.7999999989</v>
      </c>
      <c r="U222" s="1004">
        <f>+(T222/10^7)*2</f>
        <v>-1.7861671599999998</v>
      </c>
    </row>
    <row r="223" spans="1:23">
      <c r="A223" s="478" t="s">
        <v>850</v>
      </c>
      <c r="B223" s="479">
        <f t="shared" ref="B223" si="71">B212</f>
        <v>0</v>
      </c>
      <c r="C223" s="480"/>
      <c r="D223" s="480"/>
      <c r="E223" s="480"/>
      <c r="F223" s="480"/>
      <c r="G223" s="480"/>
      <c r="H223" s="480"/>
      <c r="I223" s="480"/>
      <c r="J223" s="480"/>
      <c r="K223" s="480"/>
      <c r="L223" s="480"/>
      <c r="M223" s="480"/>
      <c r="N223" s="480"/>
      <c r="O223" s="480"/>
      <c r="P223" s="480"/>
      <c r="Q223" s="480"/>
      <c r="R223" s="480">
        <f t="shared" ref="R223:R231" si="72">I223+J223+N223+O223+K223</f>
        <v>0</v>
      </c>
      <c r="T223" s="421">
        <v>0</v>
      </c>
    </row>
    <row r="224" spans="1:23">
      <c r="A224" s="478" t="s">
        <v>424</v>
      </c>
      <c r="B224" s="479"/>
      <c r="C224" s="480"/>
      <c r="D224" s="480"/>
      <c r="E224" s="480"/>
      <c r="F224" s="480"/>
      <c r="G224" s="480"/>
      <c r="H224" s="480"/>
      <c r="I224" s="480"/>
      <c r="J224" s="480"/>
      <c r="K224" s="480"/>
      <c r="L224" s="480"/>
      <c r="M224" s="480"/>
      <c r="N224" s="480"/>
      <c r="O224" s="480"/>
      <c r="P224" s="480"/>
      <c r="Q224" s="480"/>
      <c r="R224" s="480">
        <f t="shared" si="72"/>
        <v>0</v>
      </c>
      <c r="T224" s="421">
        <v>0</v>
      </c>
    </row>
    <row r="225" spans="1:21">
      <c r="A225" s="478"/>
      <c r="B225" s="479"/>
      <c r="C225" s="480"/>
      <c r="D225" s="480"/>
      <c r="E225" s="480"/>
      <c r="F225" s="480"/>
      <c r="G225" s="480"/>
      <c r="H225" s="480"/>
      <c r="I225" s="480"/>
      <c r="J225" s="480"/>
      <c r="K225" s="480"/>
      <c r="L225" s="480"/>
      <c r="M225" s="480"/>
      <c r="N225" s="480"/>
      <c r="O225" s="480"/>
      <c r="P225" s="480"/>
      <c r="Q225" s="480"/>
      <c r="R225" s="480">
        <f t="shared" si="72"/>
        <v>0</v>
      </c>
      <c r="T225" s="421">
        <v>0</v>
      </c>
    </row>
    <row r="226" spans="1:21">
      <c r="A226" s="478" t="s">
        <v>270</v>
      </c>
      <c r="B226" s="479"/>
      <c r="C226" s="480"/>
      <c r="D226" s="480"/>
      <c r="E226" s="480"/>
      <c r="F226" s="480"/>
      <c r="G226" s="480"/>
      <c r="H226" s="480"/>
      <c r="I226" s="480"/>
      <c r="J226" s="480"/>
      <c r="K226" s="480"/>
      <c r="L226" s="480"/>
      <c r="M226" s="480"/>
      <c r="N226" s="480"/>
      <c r="O226" s="480"/>
      <c r="P226" s="480"/>
      <c r="Q226" s="480"/>
      <c r="R226" s="480">
        <f t="shared" si="72"/>
        <v>0</v>
      </c>
      <c r="T226" s="421">
        <v>0</v>
      </c>
    </row>
    <row r="227" spans="1:21">
      <c r="A227" s="478" t="s">
        <v>787</v>
      </c>
      <c r="B227" s="479"/>
      <c r="C227" s="480"/>
      <c r="D227" s="480"/>
      <c r="E227" s="480"/>
      <c r="F227" s="480"/>
      <c r="G227" s="480"/>
      <c r="H227" s="480"/>
      <c r="I227" s="480"/>
      <c r="J227" s="480"/>
      <c r="K227" s="480"/>
      <c r="L227" s="480"/>
      <c r="M227" s="480"/>
      <c r="N227" s="480"/>
      <c r="O227" s="480"/>
      <c r="P227" s="480"/>
      <c r="Q227" s="480"/>
      <c r="R227" s="480">
        <f t="shared" si="72"/>
        <v>0</v>
      </c>
      <c r="T227" s="421">
        <v>0</v>
      </c>
    </row>
    <row r="228" spans="1:21">
      <c r="A228" s="478" t="s">
        <v>777</v>
      </c>
      <c r="B228" s="479">
        <f>B213</f>
        <v>27</v>
      </c>
      <c r="C228" s="480">
        <f>C213+C204+C196+C188+C180+C171+C162+C153+C144+C135+C126+C117</f>
        <v>316162.28000000003</v>
      </c>
      <c r="D228" s="480">
        <f t="shared" ref="D228:I228" si="73">D213+D204+D196+D188+D180+D171+D162+D153+D144+D135+D126+D117</f>
        <v>294</v>
      </c>
      <c r="E228" s="480">
        <f t="shared" si="73"/>
        <v>0</v>
      </c>
      <c r="F228" s="480">
        <f t="shared" si="73"/>
        <v>0</v>
      </c>
      <c r="G228" s="480">
        <f t="shared" si="73"/>
        <v>0</v>
      </c>
      <c r="H228" s="480">
        <f t="shared" si="73"/>
        <v>40660</v>
      </c>
      <c r="I228" s="480">
        <f t="shared" si="73"/>
        <v>1572223.2500000002</v>
      </c>
      <c r="J228" s="480">
        <f t="shared" ref="J228:Q228" si="74">J213+J204+J196+J188+J180+J171+J162+J153+J144+J135+J126+J117</f>
        <v>273593.18680000002</v>
      </c>
      <c r="K228" s="480">
        <f t="shared" si="74"/>
        <v>69417.579999999987</v>
      </c>
      <c r="L228" s="480">
        <f t="shared" si="74"/>
        <v>408981.41</v>
      </c>
      <c r="M228" s="480">
        <f t="shared" si="74"/>
        <v>28581.030000000002</v>
      </c>
      <c r="N228" s="480">
        <f t="shared" si="74"/>
        <v>0</v>
      </c>
      <c r="O228" s="480">
        <f t="shared" si="74"/>
        <v>0</v>
      </c>
      <c r="P228" s="480">
        <f t="shared" si="74"/>
        <v>2385093.1768000005</v>
      </c>
      <c r="Q228" s="480">
        <f t="shared" si="74"/>
        <v>-8363.2800000000007</v>
      </c>
      <c r="R228" s="480">
        <f t="shared" si="72"/>
        <v>1915234.0168000003</v>
      </c>
      <c r="T228" s="428">
        <f>+N171+N180+N188+N196+N204+N213</f>
        <v>0</v>
      </c>
      <c r="U228" s="1004">
        <f>+(T228/10^7)*2</f>
        <v>0</v>
      </c>
    </row>
    <row r="229" spans="1:21">
      <c r="A229" s="478" t="s">
        <v>778</v>
      </c>
      <c r="B229" s="479">
        <f>B214</f>
        <v>8</v>
      </c>
      <c r="C229" s="480">
        <f>C214+C205+C197+C189+C181+C172+C163+C154+C145+C136+C127+C118</f>
        <v>463113.2</v>
      </c>
      <c r="D229" s="480">
        <f t="shared" ref="D229:I229" si="75">D214+D205+D197+D189+D181+D172+D163+D154+D145+D136+D127+D118</f>
        <v>-6255</v>
      </c>
      <c r="E229" s="480">
        <f t="shared" si="75"/>
        <v>3390</v>
      </c>
      <c r="F229" s="480">
        <f t="shared" si="75"/>
        <v>1796.6</v>
      </c>
      <c r="G229" s="480">
        <f t="shared" si="75"/>
        <v>1696</v>
      </c>
      <c r="H229" s="480">
        <f t="shared" si="75"/>
        <v>322240</v>
      </c>
      <c r="I229" s="480">
        <f t="shared" si="75"/>
        <v>2728029.85</v>
      </c>
      <c r="J229" s="480">
        <f t="shared" ref="J229:Q229" si="76">J214+J205+J197+J189+J181+J172+J163+J154+J145+J136+J127+J118</f>
        <v>305986.38399999996</v>
      </c>
      <c r="K229" s="480">
        <f t="shared" si="76"/>
        <v>98288.140000000029</v>
      </c>
      <c r="L229" s="480">
        <f t="shared" si="76"/>
        <v>740660.23</v>
      </c>
      <c r="M229" s="480">
        <f t="shared" si="76"/>
        <v>41865.379999999997</v>
      </c>
      <c r="N229" s="480">
        <f t="shared" si="76"/>
        <v>-26761.430000000004</v>
      </c>
      <c r="O229" s="480">
        <f t="shared" si="76"/>
        <v>88247.4</v>
      </c>
      <c r="P229" s="480">
        <f t="shared" si="76"/>
        <v>4282717.9540000008</v>
      </c>
      <c r="Q229" s="480">
        <f t="shared" si="76"/>
        <v>-15838</v>
      </c>
      <c r="R229" s="480">
        <f t="shared" si="72"/>
        <v>3193790.344</v>
      </c>
      <c r="T229" s="428">
        <f>+N172+N181+N189+N197+N205+N214</f>
        <v>-14093.940000000002</v>
      </c>
      <c r="U229" s="1004">
        <f>+(T229/10^7)*2</f>
        <v>-2.8187880000000005E-3</v>
      </c>
    </row>
    <row r="230" spans="1:21">
      <c r="A230" s="478" t="s">
        <v>779</v>
      </c>
      <c r="B230" s="479">
        <f>B215</f>
        <v>1</v>
      </c>
      <c r="C230" s="480">
        <f t="shared" ref="C230:C231" si="77">C215+C206+C198+C190+C182+C173+C164+C155+C146+C137+C128+C119</f>
        <v>187990.69999999998</v>
      </c>
      <c r="D230" s="480">
        <f t="shared" ref="D230:I230" si="78">D215+D206+D198+D190+D182+D173+D164+D155+D146+D137+D128+D119</f>
        <v>20</v>
      </c>
      <c r="E230" s="480">
        <f t="shared" si="78"/>
        <v>0</v>
      </c>
      <c r="F230" s="480">
        <f t="shared" si="78"/>
        <v>0</v>
      </c>
      <c r="G230" s="480">
        <f t="shared" si="78"/>
        <v>0</v>
      </c>
      <c r="H230" s="480">
        <f t="shared" si="78"/>
        <v>20520</v>
      </c>
      <c r="I230" s="480">
        <f t="shared" si="78"/>
        <v>947303.00999999989</v>
      </c>
      <c r="J230" s="480">
        <f t="shared" ref="J230:Q230" si="79">J215+J206+J198+J190+J182+J173+J164+J155+J146+J137+J128+J119</f>
        <v>4339.3219999999992</v>
      </c>
      <c r="K230" s="480">
        <f t="shared" si="79"/>
        <v>935.94</v>
      </c>
      <c r="L230" s="480">
        <f t="shared" si="79"/>
        <v>87231.28</v>
      </c>
      <c r="M230" s="480">
        <f t="shared" si="79"/>
        <v>16994.419999999998</v>
      </c>
      <c r="N230" s="480">
        <f t="shared" si="79"/>
        <v>0</v>
      </c>
      <c r="O230" s="480">
        <f t="shared" si="79"/>
        <v>0</v>
      </c>
      <c r="P230" s="480">
        <f t="shared" si="79"/>
        <v>1077209.2919999999</v>
      </c>
      <c r="Q230" s="480">
        <f t="shared" si="79"/>
        <v>-114.68</v>
      </c>
      <c r="R230" s="480">
        <f t="shared" si="72"/>
        <v>952578.27199999988</v>
      </c>
      <c r="T230" s="428">
        <f>+N173+N182+N190+N198+N206+N215</f>
        <v>0</v>
      </c>
      <c r="U230" s="1004">
        <f>+(T230/10^7)*2</f>
        <v>0</v>
      </c>
    </row>
    <row r="231" spans="1:21">
      <c r="A231" s="478" t="s">
        <v>780</v>
      </c>
      <c r="B231" s="479">
        <f>B216</f>
        <v>28</v>
      </c>
      <c r="C231" s="480">
        <f t="shared" si="77"/>
        <v>7042649.5700000003</v>
      </c>
      <c r="D231" s="480">
        <f t="shared" ref="D231:I231" si="80">D216+D207+D199+D191+D183+D174+D165+D156+D147+D138+D129+D120</f>
        <v>-210762.43</v>
      </c>
      <c r="E231" s="480">
        <f t="shared" si="80"/>
        <v>32284</v>
      </c>
      <c r="F231" s="480">
        <f t="shared" si="80"/>
        <v>18241.400000000001</v>
      </c>
      <c r="G231" s="480">
        <f t="shared" si="80"/>
        <v>14628</v>
      </c>
      <c r="H231" s="480">
        <f t="shared" si="80"/>
        <v>2194200</v>
      </c>
      <c r="I231" s="480">
        <f t="shared" si="80"/>
        <v>39487565.530000001</v>
      </c>
      <c r="J231" s="480">
        <f t="shared" ref="J231:Q231" si="81">J216+J207+J199+J191+J183+J174+J165+J156+J147+J138+J129+J120</f>
        <v>3634870.9842000008</v>
      </c>
      <c r="K231" s="480">
        <f t="shared" si="81"/>
        <v>376498.59999999986</v>
      </c>
      <c r="L231" s="480">
        <f t="shared" si="81"/>
        <v>2571144.09</v>
      </c>
      <c r="M231" s="480">
        <f t="shared" si="81"/>
        <v>636655.53</v>
      </c>
      <c r="N231" s="480">
        <f t="shared" si="81"/>
        <v>-2609671.33</v>
      </c>
      <c r="O231" s="480">
        <f t="shared" si="81"/>
        <v>95544</v>
      </c>
      <c r="P231" s="480">
        <f t="shared" si="81"/>
        <v>46178508.364199996</v>
      </c>
      <c r="Q231" s="480">
        <f t="shared" si="81"/>
        <v>-208299.03999999998</v>
      </c>
      <c r="R231" s="480">
        <f t="shared" si="72"/>
        <v>40984807.784200005</v>
      </c>
      <c r="T231" s="428">
        <f>+N174+N183+N191+N199+N207+N216</f>
        <v>-1182494.45</v>
      </c>
      <c r="U231" s="1004">
        <f>+(T231/10^7)*2</f>
        <v>-0.23649888999999999</v>
      </c>
    </row>
    <row r="232" spans="1:21" s="491" customFormat="1" ht="15">
      <c r="A232" s="492"/>
      <c r="B232" s="549">
        <f t="shared" ref="B232:C232" si="82">SUM(B222:B231)</f>
        <v>106</v>
      </c>
      <c r="C232" s="493">
        <f t="shared" si="82"/>
        <v>82883218.74000001</v>
      </c>
      <c r="D232" s="493">
        <f t="shared" ref="D232:R232" si="83">SUM(D222:D231)</f>
        <v>-2694087.7100000004</v>
      </c>
      <c r="E232" s="493">
        <f t="shared" si="83"/>
        <v>336711</v>
      </c>
      <c r="F232" s="493">
        <f t="shared" si="83"/>
        <v>207185.99999999997</v>
      </c>
      <c r="G232" s="493">
        <f t="shared" si="83"/>
        <v>222040</v>
      </c>
      <c r="H232" s="493">
        <f t="shared" si="83"/>
        <v>41663660</v>
      </c>
      <c r="I232" s="493">
        <f t="shared" si="83"/>
        <v>466845032.77999997</v>
      </c>
      <c r="J232" s="493">
        <f t="shared" si="83"/>
        <v>41647332.626400001</v>
      </c>
      <c r="K232" s="493">
        <f t="shared" si="83"/>
        <v>4985482.72</v>
      </c>
      <c r="L232" s="493">
        <f t="shared" si="83"/>
        <v>39899226.489999995</v>
      </c>
      <c r="M232" s="493">
        <f t="shared" si="83"/>
        <v>7492643.0200000005</v>
      </c>
      <c r="N232" s="493">
        <f t="shared" si="83"/>
        <v>-23965005.530000001</v>
      </c>
      <c r="O232" s="493">
        <f t="shared" si="83"/>
        <v>716342.40000000014</v>
      </c>
      <c r="P232" s="493">
        <f t="shared" si="83"/>
        <v>577001339.59640002</v>
      </c>
      <c r="Q232" s="493">
        <f t="shared" si="83"/>
        <v>-2283374.91</v>
      </c>
      <c r="R232" s="493">
        <f t="shared" si="83"/>
        <v>490229184.9964</v>
      </c>
      <c r="T232" s="428">
        <f>+SUM(T222:T231)</f>
        <v>-10127424.189999998</v>
      </c>
      <c r="U232" s="1004">
        <f>SUM(U222:U231)</f>
        <v>-2.0254848379999997</v>
      </c>
    </row>
    <row r="233" spans="1:21">
      <c r="L233" s="991">
        <f>+L232/10^7</f>
        <v>3.9899226489999995</v>
      </c>
    </row>
    <row r="234" spans="1:21" ht="15">
      <c r="M234" s="1291">
        <v>57.32</v>
      </c>
      <c r="P234" s="1250">
        <f>P232-L232-M232</f>
        <v>529609470.08640003</v>
      </c>
      <c r="Q234" s="1047" t="s">
        <v>1340</v>
      </c>
    </row>
    <row r="235" spans="1:21" ht="15" hidden="1">
      <c r="A235" s="484" t="s">
        <v>804</v>
      </c>
      <c r="M235" s="1047"/>
      <c r="Q235" s="1047"/>
    </row>
    <row r="236" spans="1:21" ht="15">
      <c r="L236" s="429"/>
      <c r="M236" s="1291">
        <f>+P234/10^7</f>
        <v>52.960947008640005</v>
      </c>
      <c r="N236" s="421">
        <v>57.32</v>
      </c>
      <c r="P236" s="1250">
        <v>529614255.54640007</v>
      </c>
      <c r="Q236" s="1047" t="s">
        <v>1339</v>
      </c>
    </row>
    <row r="237" spans="1:21" hidden="1">
      <c r="A237" s="462">
        <v>42095</v>
      </c>
      <c r="P237" s="1250"/>
    </row>
    <row r="238" spans="1:21" ht="30" hidden="1">
      <c r="A238" s="476" t="s">
        <v>849</v>
      </c>
      <c r="B238" s="476" t="s">
        <v>772</v>
      </c>
      <c r="C238" s="476" t="s">
        <v>773</v>
      </c>
      <c r="D238" s="476" t="s">
        <v>828</v>
      </c>
      <c r="E238" s="476" t="s">
        <v>829</v>
      </c>
      <c r="F238" s="476" t="s">
        <v>830</v>
      </c>
      <c r="G238" s="476" t="s">
        <v>831</v>
      </c>
      <c r="H238" s="476" t="s">
        <v>832</v>
      </c>
      <c r="I238" s="476" t="s">
        <v>833</v>
      </c>
      <c r="J238" s="476" t="s">
        <v>834</v>
      </c>
      <c r="K238" s="476" t="s">
        <v>835</v>
      </c>
      <c r="L238" s="476" t="s">
        <v>836</v>
      </c>
      <c r="M238" s="476" t="s">
        <v>837</v>
      </c>
      <c r="N238" s="476" t="s">
        <v>838</v>
      </c>
      <c r="O238" s="476" t="s">
        <v>847</v>
      </c>
      <c r="P238" s="1292" t="s">
        <v>840</v>
      </c>
      <c r="Q238" s="476" t="s">
        <v>841</v>
      </c>
    </row>
    <row r="239" spans="1:21" hidden="1">
      <c r="A239" s="504" t="s">
        <v>769</v>
      </c>
      <c r="B239" s="496">
        <v>43</v>
      </c>
      <c r="C239" s="496">
        <f>4683268.28+84559.6</f>
        <v>4767827.88</v>
      </c>
      <c r="E239" s="496"/>
      <c r="F239" s="496">
        <v>43</v>
      </c>
      <c r="G239" s="496">
        <v>18529</v>
      </c>
      <c r="H239" s="496">
        <v>3520510</v>
      </c>
      <c r="I239" s="496">
        <v>32829710.649999995</v>
      </c>
      <c r="J239" s="496"/>
      <c r="K239" s="496">
        <v>-1676756.9200000002</v>
      </c>
      <c r="L239" s="496"/>
      <c r="M239" s="496">
        <v>2972560.69</v>
      </c>
      <c r="N239" s="496">
        <v>374661.46</v>
      </c>
      <c r="O239" s="496">
        <v>-724237.94999999984</v>
      </c>
      <c r="P239" s="1293">
        <v>424935</v>
      </c>
      <c r="Q239" s="496">
        <v>37721382.929999992</v>
      </c>
    </row>
    <row r="240" spans="1:21" hidden="1">
      <c r="A240" s="504" t="s">
        <v>770</v>
      </c>
      <c r="B240" s="496">
        <v>1</v>
      </c>
      <c r="C240" s="496">
        <v>55900</v>
      </c>
      <c r="D240" s="496"/>
      <c r="E240" s="496"/>
      <c r="F240" s="496">
        <v>1</v>
      </c>
      <c r="G240" s="496">
        <v>940</v>
      </c>
      <c r="H240" s="496">
        <v>178600</v>
      </c>
      <c r="I240" s="496">
        <v>584155</v>
      </c>
      <c r="J240" s="496"/>
      <c r="K240" s="496">
        <v>-20650</v>
      </c>
      <c r="L240" s="496"/>
      <c r="M240" s="496">
        <v>155842.04999999999</v>
      </c>
      <c r="N240" s="496">
        <v>4472</v>
      </c>
      <c r="O240" s="496">
        <v>163263.1</v>
      </c>
      <c r="P240" s="1293">
        <v>0</v>
      </c>
      <c r="Q240" s="496">
        <v>1065682.1500000001</v>
      </c>
    </row>
    <row r="241" spans="1:17" hidden="1">
      <c r="A241" s="504" t="s">
        <v>765</v>
      </c>
      <c r="B241" s="496">
        <v>7</v>
      </c>
      <c r="C241" s="496">
        <v>7102.3</v>
      </c>
      <c r="D241" s="496"/>
      <c r="E241" s="496"/>
      <c r="F241" s="496">
        <v>7</v>
      </c>
      <c r="G241" s="496">
        <v>0</v>
      </c>
      <c r="H241" s="496">
        <v>1330</v>
      </c>
      <c r="I241" s="496">
        <v>55975.28</v>
      </c>
      <c r="J241" s="496"/>
      <c r="K241" s="496">
        <v>0</v>
      </c>
      <c r="L241" s="496"/>
      <c r="M241" s="496">
        <v>12034.11</v>
      </c>
      <c r="N241" s="496">
        <v>568.19000000000005</v>
      </c>
      <c r="O241" s="496">
        <v>0</v>
      </c>
      <c r="P241" s="1293">
        <v>0</v>
      </c>
      <c r="Q241" s="496">
        <v>69907.58</v>
      </c>
    </row>
    <row r="242" spans="1:17" hidden="1">
      <c r="A242" s="504" t="s">
        <v>766</v>
      </c>
      <c r="B242" s="496">
        <v>4</v>
      </c>
      <c r="C242" s="496">
        <v>12064</v>
      </c>
      <c r="D242" s="496"/>
      <c r="E242" s="496"/>
      <c r="F242" s="496">
        <v>4</v>
      </c>
      <c r="G242" s="496">
        <v>109</v>
      </c>
      <c r="H242" s="496">
        <v>20710</v>
      </c>
      <c r="I242" s="496">
        <v>101820.16</v>
      </c>
      <c r="J242" s="496"/>
      <c r="K242" s="496">
        <v>-2767</v>
      </c>
      <c r="L242" s="496"/>
      <c r="M242" s="496">
        <v>28583.27</v>
      </c>
      <c r="N242" s="496">
        <v>965.12</v>
      </c>
      <c r="O242" s="496">
        <v>24.610000000000014</v>
      </c>
      <c r="P242" s="1293">
        <v>16347.6</v>
      </c>
      <c r="Q242" s="496">
        <v>165683.76</v>
      </c>
    </row>
    <row r="243" spans="1:17" hidden="1">
      <c r="A243" s="504" t="s">
        <v>767</v>
      </c>
      <c r="B243" s="496">
        <v>15</v>
      </c>
      <c r="C243" s="496">
        <v>15436.6</v>
      </c>
      <c r="D243" s="496"/>
      <c r="E243" s="496"/>
      <c r="F243" s="496">
        <v>15</v>
      </c>
      <c r="G243" s="496">
        <v>0</v>
      </c>
      <c r="H243" s="496">
        <v>2850</v>
      </c>
      <c r="I243" s="496">
        <v>78109.219999999987</v>
      </c>
      <c r="J243" s="496"/>
      <c r="K243" s="496">
        <v>0</v>
      </c>
      <c r="L243" s="496"/>
      <c r="M243" s="496">
        <v>7529.1999999999989</v>
      </c>
      <c r="N243" s="496">
        <v>1234.92</v>
      </c>
      <c r="O243" s="496">
        <v>0</v>
      </c>
      <c r="P243" s="1293">
        <v>0</v>
      </c>
      <c r="Q243" s="496">
        <v>89723.34</v>
      </c>
    </row>
    <row r="244" spans="1:17" hidden="1">
      <c r="A244" s="504" t="s">
        <v>768</v>
      </c>
      <c r="B244" s="496">
        <v>22</v>
      </c>
      <c r="C244" s="496">
        <v>326782</v>
      </c>
      <c r="D244" s="496"/>
      <c r="E244" s="496"/>
      <c r="F244" s="496">
        <v>22</v>
      </c>
      <c r="G244" s="496">
        <v>1060</v>
      </c>
      <c r="H244" s="496">
        <v>137800</v>
      </c>
      <c r="I244" s="496">
        <v>2290741.8199999998</v>
      </c>
      <c r="J244" s="496"/>
      <c r="K244" s="496">
        <v>-120517.80000000002</v>
      </c>
      <c r="L244" s="496"/>
      <c r="M244" s="496">
        <v>216297.96999999994</v>
      </c>
      <c r="N244" s="496">
        <v>26142.559999999998</v>
      </c>
      <c r="O244" s="496">
        <v>-37044.86</v>
      </c>
      <c r="P244" s="1293">
        <v>17760.599999999999</v>
      </c>
      <c r="Q244" s="496">
        <v>2531180.2899999996</v>
      </c>
    </row>
    <row r="245" spans="1:17" ht="15" hidden="1">
      <c r="A245" s="505"/>
      <c r="B245" s="506">
        <f>SUM(B239:B244)</f>
        <v>92</v>
      </c>
      <c r="C245" s="506">
        <f t="shared" ref="C245:Q245" si="84">SUM(C239:C244)</f>
        <v>5185112.7799999993</v>
      </c>
      <c r="D245" s="506">
        <f t="shared" si="84"/>
        <v>0</v>
      </c>
      <c r="E245" s="506">
        <f t="shared" si="84"/>
        <v>0</v>
      </c>
      <c r="F245" s="506">
        <f t="shared" si="84"/>
        <v>92</v>
      </c>
      <c r="G245" s="506">
        <f t="shared" si="84"/>
        <v>20638</v>
      </c>
      <c r="H245" s="506">
        <f t="shared" si="84"/>
        <v>3861800</v>
      </c>
      <c r="I245" s="506">
        <f t="shared" si="84"/>
        <v>35940512.129999995</v>
      </c>
      <c r="J245" s="506">
        <f t="shared" si="84"/>
        <v>0</v>
      </c>
      <c r="K245" s="506">
        <f t="shared" si="84"/>
        <v>-1820691.7200000002</v>
      </c>
      <c r="L245" s="506">
        <f t="shared" si="84"/>
        <v>0</v>
      </c>
      <c r="M245" s="506">
        <f t="shared" si="84"/>
        <v>3392847.2899999996</v>
      </c>
      <c r="N245" s="506">
        <f t="shared" si="84"/>
        <v>408044.25</v>
      </c>
      <c r="O245" s="506">
        <f t="shared" si="84"/>
        <v>-597995.09999999986</v>
      </c>
      <c r="P245" s="1294">
        <f t="shared" si="84"/>
        <v>459043.19999999995</v>
      </c>
      <c r="Q245" s="506">
        <f t="shared" si="84"/>
        <v>41643560.04999999</v>
      </c>
    </row>
    <row r="246" spans="1:17" hidden="1">
      <c r="C246" s="421">
        <f>C245/10^6</f>
        <v>5.185112779999999</v>
      </c>
      <c r="P246" s="1250"/>
      <c r="Q246" s="553">
        <f>Q245-M245-N245</f>
        <v>37842668.50999999</v>
      </c>
    </row>
    <row r="247" spans="1:17" hidden="1">
      <c r="A247" s="462">
        <v>42125</v>
      </c>
      <c r="P247" s="1250"/>
    </row>
    <row r="248" spans="1:17" ht="30" hidden="1">
      <c r="A248" s="476" t="s">
        <v>849</v>
      </c>
      <c r="B248" s="476" t="s">
        <v>772</v>
      </c>
      <c r="C248" s="476" t="s">
        <v>773</v>
      </c>
      <c r="D248" s="476" t="s">
        <v>828</v>
      </c>
      <c r="E248" s="476" t="s">
        <v>829</v>
      </c>
      <c r="F248" s="476" t="s">
        <v>830</v>
      </c>
      <c r="G248" s="476" t="s">
        <v>831</v>
      </c>
      <c r="H248" s="476" t="s">
        <v>832</v>
      </c>
      <c r="I248" s="476" t="s">
        <v>833</v>
      </c>
      <c r="J248" s="476" t="s">
        <v>834</v>
      </c>
      <c r="K248" s="476" t="s">
        <v>835</v>
      </c>
      <c r="L248" s="476" t="s">
        <v>836</v>
      </c>
      <c r="M248" s="476" t="s">
        <v>837</v>
      </c>
      <c r="N248" s="476" t="s">
        <v>838</v>
      </c>
      <c r="O248" s="476" t="s">
        <v>847</v>
      </c>
      <c r="P248" s="1292" t="s">
        <v>840</v>
      </c>
      <c r="Q248" s="476" t="s">
        <v>841</v>
      </c>
    </row>
    <row r="249" spans="1:17" hidden="1">
      <c r="A249" s="504" t="s">
        <v>769</v>
      </c>
      <c r="B249" s="496">
        <v>44</v>
      </c>
      <c r="C249" s="496">
        <v>6677275.8600000003</v>
      </c>
      <c r="E249" s="496"/>
      <c r="F249" s="496">
        <v>16925.730000000003</v>
      </c>
      <c r="G249" s="496">
        <v>18630</v>
      </c>
      <c r="H249" s="496">
        <v>3539700</v>
      </c>
      <c r="I249" s="496">
        <v>46807703.769999988</v>
      </c>
      <c r="J249" s="496"/>
      <c r="K249" s="496">
        <v>-2245560.71</v>
      </c>
      <c r="L249" s="496"/>
      <c r="M249" s="496">
        <v>4066776.79</v>
      </c>
      <c r="N249" s="496">
        <v>534182.09000000008</v>
      </c>
      <c r="O249" s="496">
        <v>-1058315.6300000001</v>
      </c>
      <c r="P249" s="1293">
        <v>175560</v>
      </c>
      <c r="Q249" s="496">
        <v>51820046.309999987</v>
      </c>
    </row>
    <row r="250" spans="1:17" hidden="1">
      <c r="A250" s="504" t="s">
        <v>770</v>
      </c>
      <c r="B250" s="496">
        <v>1</v>
      </c>
      <c r="C250" s="496">
        <v>14000</v>
      </c>
      <c r="D250" s="496"/>
      <c r="E250" s="496"/>
      <c r="F250" s="496">
        <v>240</v>
      </c>
      <c r="G250" s="496">
        <v>705</v>
      </c>
      <c r="H250" s="496">
        <v>133950</v>
      </c>
      <c r="I250" s="496">
        <v>146300</v>
      </c>
      <c r="J250" s="496"/>
      <c r="K250" s="496">
        <v>-1050</v>
      </c>
      <c r="L250" s="496"/>
      <c r="M250" s="496">
        <v>58632</v>
      </c>
      <c r="N250" s="496">
        <v>1120</v>
      </c>
      <c r="O250" s="496">
        <v>0</v>
      </c>
      <c r="P250" s="1293">
        <v>0</v>
      </c>
      <c r="Q250" s="496">
        <v>338952</v>
      </c>
    </row>
    <row r="251" spans="1:17" hidden="1">
      <c r="A251" s="504" t="s">
        <v>765</v>
      </c>
      <c r="B251" s="496">
        <v>9</v>
      </c>
      <c r="C251" s="496">
        <v>9370.2000000000007</v>
      </c>
      <c r="D251" s="496"/>
      <c r="E251" s="496"/>
      <c r="F251" s="496">
        <v>0</v>
      </c>
      <c r="G251" s="496">
        <v>0</v>
      </c>
      <c r="H251" s="496">
        <v>1710</v>
      </c>
      <c r="I251" s="496">
        <v>74254.17</v>
      </c>
      <c r="J251" s="496"/>
      <c r="K251" s="496">
        <v>0</v>
      </c>
      <c r="L251" s="496"/>
      <c r="M251" s="496">
        <v>15952.460000000001</v>
      </c>
      <c r="N251" s="496">
        <v>749.62</v>
      </c>
      <c r="O251" s="496">
        <v>0</v>
      </c>
      <c r="P251" s="1293">
        <v>0</v>
      </c>
      <c r="Q251" s="496">
        <v>92666.25</v>
      </c>
    </row>
    <row r="252" spans="1:17" hidden="1">
      <c r="A252" s="504" t="s">
        <v>766</v>
      </c>
      <c r="B252" s="496">
        <v>4</v>
      </c>
      <c r="C252" s="496">
        <v>20576</v>
      </c>
      <c r="D252" s="496"/>
      <c r="E252" s="496"/>
      <c r="F252" s="496">
        <v>98.8</v>
      </c>
      <c r="G252" s="496">
        <v>69</v>
      </c>
      <c r="H252" s="496">
        <v>13110</v>
      </c>
      <c r="I252" s="496">
        <v>173661.44</v>
      </c>
      <c r="J252" s="496"/>
      <c r="K252" s="496">
        <v>-2003</v>
      </c>
      <c r="L252" s="496"/>
      <c r="M252" s="496">
        <v>38801.369999999995</v>
      </c>
      <c r="N252" s="496">
        <v>1646.0800000000002</v>
      </c>
      <c r="O252" s="496">
        <v>5906.96</v>
      </c>
      <c r="P252" s="1293">
        <v>0</v>
      </c>
      <c r="Q252" s="496">
        <v>231122.85000000003</v>
      </c>
    </row>
    <row r="253" spans="1:17" hidden="1">
      <c r="A253" s="504" t="s">
        <v>767</v>
      </c>
      <c r="B253" s="496">
        <v>15</v>
      </c>
      <c r="C253" s="496">
        <v>22708.199999999997</v>
      </c>
      <c r="D253" s="496"/>
      <c r="E253" s="496"/>
      <c r="F253" s="496">
        <v>0</v>
      </c>
      <c r="G253" s="496">
        <v>0</v>
      </c>
      <c r="H253" s="496">
        <v>2850</v>
      </c>
      <c r="I253" s="496">
        <v>114903.48999999999</v>
      </c>
      <c r="J253" s="496"/>
      <c r="K253" s="496">
        <v>0</v>
      </c>
      <c r="L253" s="496"/>
      <c r="M253" s="496">
        <v>10951.08</v>
      </c>
      <c r="N253" s="496">
        <v>1816.65</v>
      </c>
      <c r="O253" s="496">
        <v>0</v>
      </c>
      <c r="P253" s="1293">
        <v>0</v>
      </c>
      <c r="Q253" s="496">
        <v>130521.22000000002</v>
      </c>
    </row>
    <row r="254" spans="1:17" hidden="1">
      <c r="A254" s="504" t="s">
        <v>768</v>
      </c>
      <c r="B254" s="496">
        <v>22</v>
      </c>
      <c r="C254" s="496">
        <v>467524</v>
      </c>
      <c r="D254" s="496"/>
      <c r="E254" s="496"/>
      <c r="F254" s="496">
        <v>1403.3999999999999</v>
      </c>
      <c r="G254" s="496">
        <v>1059</v>
      </c>
      <c r="H254" s="496">
        <v>137670</v>
      </c>
      <c r="I254" s="496">
        <v>3277343.24</v>
      </c>
      <c r="J254" s="496"/>
      <c r="K254" s="496">
        <v>-159313.80000000005</v>
      </c>
      <c r="L254" s="496"/>
      <c r="M254" s="496">
        <v>303893.52</v>
      </c>
      <c r="N254" s="496">
        <v>37401.919999999998</v>
      </c>
      <c r="O254" s="496">
        <v>-77117.599999999991</v>
      </c>
      <c r="P254" s="1293">
        <v>11973</v>
      </c>
      <c r="Q254" s="496">
        <v>3531850.28</v>
      </c>
    </row>
    <row r="255" spans="1:17" ht="15" hidden="1">
      <c r="A255" s="505"/>
      <c r="B255" s="506">
        <f>SUM(B249:B254)</f>
        <v>95</v>
      </c>
      <c r="C255" s="506">
        <f t="shared" ref="C255" si="85">SUM(C249:C254)</f>
        <v>7211454.2600000007</v>
      </c>
      <c r="D255" s="506">
        <f t="shared" ref="D255" si="86">SUM(D249:D254)</f>
        <v>0</v>
      </c>
      <c r="E255" s="506">
        <f t="shared" ref="E255" si="87">SUM(E249:E254)</f>
        <v>0</v>
      </c>
      <c r="F255" s="506">
        <f t="shared" ref="F255" si="88">SUM(F249:F254)</f>
        <v>18667.930000000004</v>
      </c>
      <c r="G255" s="506">
        <f t="shared" ref="G255" si="89">SUM(G249:G254)</f>
        <v>20463</v>
      </c>
      <c r="H255" s="506">
        <f t="shared" ref="H255" si="90">SUM(H249:H254)</f>
        <v>3828990</v>
      </c>
      <c r="I255" s="506">
        <f t="shared" ref="I255" si="91">SUM(I249:I254)</f>
        <v>50594166.109999992</v>
      </c>
      <c r="J255" s="506">
        <f t="shared" ref="J255" si="92">SUM(J249:J254)</f>
        <v>0</v>
      </c>
      <c r="K255" s="506">
        <f t="shared" ref="K255" si="93">SUM(K249:K254)</f>
        <v>-2407927.5099999998</v>
      </c>
      <c r="L255" s="506">
        <f t="shared" ref="L255" si="94">SUM(L249:L254)</f>
        <v>0</v>
      </c>
      <c r="M255" s="506">
        <f t="shared" ref="M255" si="95">SUM(M249:M254)</f>
        <v>4495007.2200000007</v>
      </c>
      <c r="N255" s="506">
        <f t="shared" ref="N255" si="96">SUM(N249:N254)</f>
        <v>576916.3600000001</v>
      </c>
      <c r="O255" s="506">
        <f t="shared" ref="O255" si="97">SUM(O249:O254)</f>
        <v>-1129526.2700000003</v>
      </c>
      <c r="P255" s="1294">
        <f t="shared" ref="P255" si="98">SUM(P249:P254)</f>
        <v>187533</v>
      </c>
      <c r="Q255" s="506">
        <f t="shared" ref="Q255" si="99">SUM(Q249:Q254)</f>
        <v>56145158.909999989</v>
      </c>
    </row>
    <row r="256" spans="1:17" hidden="1">
      <c r="P256" s="1250"/>
      <c r="Q256" s="553">
        <f>Q255-M255-N255</f>
        <v>51073235.329999991</v>
      </c>
    </row>
    <row r="257" spans="1:17" hidden="1">
      <c r="A257" s="462">
        <v>42156</v>
      </c>
      <c r="P257" s="1250"/>
    </row>
    <row r="258" spans="1:17" ht="30" hidden="1">
      <c r="A258" s="476" t="s">
        <v>849</v>
      </c>
      <c r="B258" s="476" t="s">
        <v>772</v>
      </c>
      <c r="C258" s="476" t="s">
        <v>773</v>
      </c>
      <c r="D258" s="476" t="s">
        <v>828</v>
      </c>
      <c r="E258" s="476" t="s">
        <v>829</v>
      </c>
      <c r="F258" s="476" t="s">
        <v>830</v>
      </c>
      <c r="G258" s="476" t="s">
        <v>831</v>
      </c>
      <c r="H258" s="476" t="s">
        <v>832</v>
      </c>
      <c r="I258" s="476" t="s">
        <v>833</v>
      </c>
      <c r="J258" s="476" t="s">
        <v>834</v>
      </c>
      <c r="K258" s="476" t="s">
        <v>835</v>
      </c>
      <c r="L258" s="476" t="s">
        <v>836</v>
      </c>
      <c r="M258" s="476" t="s">
        <v>837</v>
      </c>
      <c r="N258" s="476" t="s">
        <v>838</v>
      </c>
      <c r="O258" s="476" t="s">
        <v>847</v>
      </c>
      <c r="P258" s="1292" t="s">
        <v>840</v>
      </c>
      <c r="Q258" s="476" t="s">
        <v>841</v>
      </c>
    </row>
    <row r="259" spans="1:17" hidden="1">
      <c r="A259" s="504" t="s">
        <v>769</v>
      </c>
      <c r="B259" s="496">
        <v>44</v>
      </c>
      <c r="C259" s="496">
        <v>6512083.2200000007</v>
      </c>
      <c r="E259" s="496">
        <v>25286</v>
      </c>
      <c r="F259" s="496">
        <v>16445.71</v>
      </c>
      <c r="G259" s="496">
        <v>18357</v>
      </c>
      <c r="H259" s="496">
        <v>3487830</v>
      </c>
      <c r="I259" s="496">
        <v>45649703.390000008</v>
      </c>
      <c r="J259" s="496"/>
      <c r="K259" s="496">
        <v>-547706.29999999993</v>
      </c>
      <c r="L259" s="496"/>
      <c r="M259" s="496">
        <v>3855137.6399999997</v>
      </c>
      <c r="N259" s="496">
        <v>520966.65000000014</v>
      </c>
      <c r="O259" s="496">
        <v>-1896044.7299999995</v>
      </c>
      <c r="P259" s="1293">
        <v>101460</v>
      </c>
      <c r="Q259" s="496">
        <v>51171346.649999999</v>
      </c>
    </row>
    <row r="260" spans="1:17" hidden="1">
      <c r="A260" s="504" t="s">
        <v>770</v>
      </c>
      <c r="B260" s="496">
        <v>1</v>
      </c>
      <c r="C260" s="496">
        <v>4122.2</v>
      </c>
      <c r="D260" s="496"/>
      <c r="E260" s="496">
        <v>250</v>
      </c>
      <c r="F260" s="496">
        <v>20.399999999999999</v>
      </c>
      <c r="G260" s="496">
        <v>125</v>
      </c>
      <c r="H260" s="496">
        <v>23750</v>
      </c>
      <c r="I260" s="496">
        <v>43076.99</v>
      </c>
      <c r="J260" s="496"/>
      <c r="K260" s="496">
        <v>332.99</v>
      </c>
      <c r="L260" s="496"/>
      <c r="M260" s="496">
        <v>14103.6</v>
      </c>
      <c r="N260" s="496">
        <v>329.78</v>
      </c>
      <c r="O260" s="496">
        <v>-3358</v>
      </c>
      <c r="P260" s="1293">
        <v>0</v>
      </c>
      <c r="Q260" s="496">
        <v>78235.360000000001</v>
      </c>
    </row>
    <row r="261" spans="1:17" hidden="1">
      <c r="A261" s="504" t="s">
        <v>765</v>
      </c>
      <c r="B261" s="496">
        <v>9</v>
      </c>
      <c r="C261" s="496">
        <v>9202.9000000000015</v>
      </c>
      <c r="D261" s="496"/>
      <c r="E261" s="496">
        <v>108</v>
      </c>
      <c r="F261" s="496">
        <v>0</v>
      </c>
      <c r="G261" s="496">
        <v>0</v>
      </c>
      <c r="H261" s="496">
        <v>1710</v>
      </c>
      <c r="I261" s="496">
        <v>72805.649999999994</v>
      </c>
      <c r="J261" s="496"/>
      <c r="K261" s="496">
        <v>0</v>
      </c>
      <c r="L261" s="496"/>
      <c r="M261" s="496">
        <v>15648.300000000001</v>
      </c>
      <c r="N261" s="496">
        <v>736.2399999999999</v>
      </c>
      <c r="O261" s="496">
        <v>0</v>
      </c>
      <c r="P261" s="1293">
        <v>0</v>
      </c>
      <c r="Q261" s="496">
        <v>90900.189999999988</v>
      </c>
    </row>
    <row r="262" spans="1:17" hidden="1">
      <c r="A262" s="504" t="s">
        <v>766</v>
      </c>
      <c r="B262" s="496">
        <v>5</v>
      </c>
      <c r="C262" s="496">
        <v>24630.6</v>
      </c>
      <c r="D262" s="496"/>
      <c r="E262" s="496">
        <v>180</v>
      </c>
      <c r="F262" s="496">
        <v>115.07</v>
      </c>
      <c r="G262" s="496">
        <v>81</v>
      </c>
      <c r="H262" s="496">
        <v>15390</v>
      </c>
      <c r="I262" s="496">
        <v>207882.25999999998</v>
      </c>
      <c r="J262" s="496"/>
      <c r="K262" s="496">
        <v>31.489999999999991</v>
      </c>
      <c r="L262" s="496"/>
      <c r="M262" s="496">
        <v>46893.79</v>
      </c>
      <c r="N262" s="496">
        <v>1970.4500000000003</v>
      </c>
      <c r="O262" s="496">
        <v>9210.93</v>
      </c>
      <c r="P262" s="1293">
        <v>0</v>
      </c>
      <c r="Q262" s="496">
        <v>281378.92</v>
      </c>
    </row>
    <row r="263" spans="1:17" hidden="1">
      <c r="A263" s="504" t="s">
        <v>767</v>
      </c>
      <c r="B263" s="496">
        <v>15</v>
      </c>
      <c r="C263" s="496">
        <v>22202.6</v>
      </c>
      <c r="D263" s="496"/>
      <c r="E263" s="496">
        <v>140</v>
      </c>
      <c r="F263" s="496">
        <v>0</v>
      </c>
      <c r="G263" s="496">
        <v>0</v>
      </c>
      <c r="H263" s="496">
        <v>2850</v>
      </c>
      <c r="I263" s="496">
        <v>112345.18</v>
      </c>
      <c r="J263" s="496"/>
      <c r="K263" s="496">
        <v>0</v>
      </c>
      <c r="L263" s="496"/>
      <c r="M263" s="496">
        <v>10713.150000000001</v>
      </c>
      <c r="N263" s="496">
        <v>1776.19</v>
      </c>
      <c r="O263" s="496">
        <v>0</v>
      </c>
      <c r="P263" s="1293">
        <v>0</v>
      </c>
      <c r="Q263" s="496">
        <v>127684.52000000002</v>
      </c>
    </row>
    <row r="264" spans="1:17" hidden="1">
      <c r="A264" s="504" t="s">
        <v>768</v>
      </c>
      <c r="B264" s="496">
        <v>22</v>
      </c>
      <c r="C264" s="496">
        <v>463868</v>
      </c>
      <c r="D264" s="496"/>
      <c r="E264" s="496">
        <v>2123</v>
      </c>
      <c r="F264" s="496">
        <v>1386.9600000000005</v>
      </c>
      <c r="G264" s="496">
        <v>1057</v>
      </c>
      <c r="H264" s="496">
        <v>158550</v>
      </c>
      <c r="I264" s="496">
        <v>3237798.6399999992</v>
      </c>
      <c r="J264" s="496"/>
      <c r="K264" s="496">
        <v>-36643.80000000001</v>
      </c>
      <c r="L264" s="496"/>
      <c r="M264" s="496">
        <v>314192.67</v>
      </c>
      <c r="N264" s="496">
        <v>37109.440000000002</v>
      </c>
      <c r="O264" s="496">
        <v>-146356.67999999996</v>
      </c>
      <c r="P264" s="1293">
        <v>18711</v>
      </c>
      <c r="Q264" s="496">
        <v>3583361.27</v>
      </c>
    </row>
    <row r="265" spans="1:17" ht="15" hidden="1">
      <c r="A265" s="505"/>
      <c r="B265" s="506">
        <f>SUM(B259:B264)</f>
        <v>96</v>
      </c>
      <c r="C265" s="506">
        <f t="shared" ref="C265" si="100">SUM(C259:C264)</f>
        <v>7036109.5200000005</v>
      </c>
      <c r="D265" s="506">
        <f t="shared" ref="D265" si="101">SUM(D259:D264)</f>
        <v>0</v>
      </c>
      <c r="E265" s="506">
        <f t="shared" ref="E265" si="102">SUM(E259:E264)</f>
        <v>28087</v>
      </c>
      <c r="F265" s="506">
        <f t="shared" ref="F265" si="103">SUM(F259:F264)</f>
        <v>17968.14</v>
      </c>
      <c r="G265" s="506">
        <f t="shared" ref="G265" si="104">SUM(G259:G264)</f>
        <v>19620</v>
      </c>
      <c r="H265" s="506">
        <f t="shared" ref="H265" si="105">SUM(H259:H264)</f>
        <v>3690080</v>
      </c>
      <c r="I265" s="506">
        <f t="shared" ref="I265" si="106">SUM(I259:I264)</f>
        <v>49323612.110000007</v>
      </c>
      <c r="J265" s="506">
        <f t="shared" ref="J265" si="107">SUM(J259:J264)</f>
        <v>0</v>
      </c>
      <c r="K265" s="506">
        <f t="shared" ref="K265" si="108">SUM(K259:K264)</f>
        <v>-583985.62</v>
      </c>
      <c r="L265" s="506">
        <f t="shared" ref="L265" si="109">SUM(L259:L264)</f>
        <v>0</v>
      </c>
      <c r="M265" s="506">
        <f t="shared" ref="M265" si="110">SUM(M259:M264)</f>
        <v>4256689.1499999994</v>
      </c>
      <c r="N265" s="506">
        <f t="shared" ref="N265" si="111">SUM(N259:N264)</f>
        <v>562888.75000000023</v>
      </c>
      <c r="O265" s="506">
        <f t="shared" ref="O265" si="112">SUM(O259:O264)</f>
        <v>-2036548.4799999995</v>
      </c>
      <c r="P265" s="1294">
        <f t="shared" ref="P265" si="113">SUM(P259:P264)</f>
        <v>120171</v>
      </c>
      <c r="Q265" s="506">
        <f t="shared" ref="Q265" si="114">SUM(Q259:Q264)</f>
        <v>55332906.910000004</v>
      </c>
    </row>
    <row r="266" spans="1:17" hidden="1">
      <c r="P266" s="1250"/>
    </row>
    <row r="267" spans="1:17" hidden="1">
      <c r="A267" s="462">
        <v>42186</v>
      </c>
      <c r="P267" s="1250"/>
    </row>
    <row r="268" spans="1:17" ht="30" hidden="1">
      <c r="A268" s="476" t="s">
        <v>849</v>
      </c>
      <c r="B268" s="476" t="s">
        <v>772</v>
      </c>
      <c r="C268" s="476" t="s">
        <v>773</v>
      </c>
      <c r="D268" s="476" t="s">
        <v>828</v>
      </c>
      <c r="E268" s="476" t="s">
        <v>829</v>
      </c>
      <c r="F268" s="476" t="s">
        <v>830</v>
      </c>
      <c r="G268" s="476" t="s">
        <v>831</v>
      </c>
      <c r="H268" s="476" t="s">
        <v>832</v>
      </c>
      <c r="I268" s="476" t="s">
        <v>833</v>
      </c>
      <c r="J268" s="476" t="s">
        <v>834</v>
      </c>
      <c r="K268" s="476" t="s">
        <v>835</v>
      </c>
      <c r="L268" s="476" t="s">
        <v>836</v>
      </c>
      <c r="M268" s="476" t="s">
        <v>837</v>
      </c>
      <c r="N268" s="476" t="s">
        <v>838</v>
      </c>
      <c r="O268" s="476" t="s">
        <v>847</v>
      </c>
      <c r="P268" s="1292" t="s">
        <v>840</v>
      </c>
      <c r="Q268" s="476" t="s">
        <v>841</v>
      </c>
    </row>
    <row r="269" spans="1:17" hidden="1">
      <c r="A269" s="504" t="s">
        <v>769</v>
      </c>
      <c r="B269" s="496">
        <v>44</v>
      </c>
      <c r="C269" s="496">
        <v>6797582.7000000011</v>
      </c>
      <c r="E269" s="496">
        <v>25419</v>
      </c>
      <c r="F269" s="496">
        <v>15235.359999999997</v>
      </c>
      <c r="G269" s="496">
        <v>17114</v>
      </c>
      <c r="H269" s="496">
        <v>3251660</v>
      </c>
      <c r="I269" s="496">
        <v>47651054.730000004</v>
      </c>
      <c r="J269" s="496"/>
      <c r="K269" s="496">
        <v>-641074.12</v>
      </c>
      <c r="L269" s="496"/>
      <c r="M269" s="496">
        <v>3989023.3200000003</v>
      </c>
      <c r="N269" s="496">
        <v>543806.60000000009</v>
      </c>
      <c r="O269" s="496">
        <v>-2106129.9100000006</v>
      </c>
      <c r="P269" s="1293">
        <v>33345</v>
      </c>
      <c r="Q269" s="496">
        <v>52721685.619999997</v>
      </c>
    </row>
    <row r="270" spans="1:17" hidden="1">
      <c r="A270" s="504" t="s">
        <v>770</v>
      </c>
      <c r="B270" s="496">
        <v>1</v>
      </c>
      <c r="C270" s="496">
        <v>4001</v>
      </c>
      <c r="D270" s="496"/>
      <c r="E270" s="496">
        <v>250</v>
      </c>
      <c r="F270" s="496">
        <v>17.54</v>
      </c>
      <c r="G270" s="496">
        <v>125</v>
      </c>
      <c r="H270" s="496">
        <v>23750</v>
      </c>
      <c r="I270" s="496">
        <v>41810.449999999997</v>
      </c>
      <c r="J270" s="496"/>
      <c r="K270" s="496">
        <v>530.95000000000005</v>
      </c>
      <c r="L270" s="496"/>
      <c r="M270" s="496">
        <v>13879.19</v>
      </c>
      <c r="N270" s="496">
        <v>320.08</v>
      </c>
      <c r="O270" s="496">
        <v>-1982.74</v>
      </c>
      <c r="P270" s="1293">
        <v>0</v>
      </c>
      <c r="Q270" s="496">
        <v>78307.929999999993</v>
      </c>
    </row>
    <row r="271" spans="1:17" hidden="1">
      <c r="A271" s="504" t="s">
        <v>765</v>
      </c>
      <c r="B271" s="496">
        <v>8</v>
      </c>
      <c r="C271" s="496">
        <v>9630.1</v>
      </c>
      <c r="D271" s="496"/>
      <c r="E271" s="496">
        <v>19</v>
      </c>
      <c r="F271" s="496">
        <v>0</v>
      </c>
      <c r="G271" s="496">
        <v>0</v>
      </c>
      <c r="H271" s="496">
        <v>1520</v>
      </c>
      <c r="I271" s="496">
        <v>76887.01999999999</v>
      </c>
      <c r="J271" s="496"/>
      <c r="K271" s="496">
        <v>0</v>
      </c>
      <c r="L271" s="496"/>
      <c r="M271" s="496">
        <v>16465.47</v>
      </c>
      <c r="N271" s="496">
        <v>770.41000000000008</v>
      </c>
      <c r="O271" s="496">
        <v>0</v>
      </c>
      <c r="P271" s="1293">
        <v>0</v>
      </c>
      <c r="Q271" s="496">
        <v>95642.900000000009</v>
      </c>
    </row>
    <row r="272" spans="1:17" hidden="1">
      <c r="A272" s="504" t="s">
        <v>766</v>
      </c>
      <c r="B272" s="496">
        <v>7</v>
      </c>
      <c r="C272" s="496">
        <v>28840.1</v>
      </c>
      <c r="D272" s="496"/>
      <c r="E272" s="496">
        <v>245</v>
      </c>
      <c r="F272" s="496">
        <v>117.13000000000001</v>
      </c>
      <c r="G272" s="496">
        <v>107</v>
      </c>
      <c r="H272" s="496">
        <v>20330</v>
      </c>
      <c r="I272" s="496">
        <v>243410.44000000003</v>
      </c>
      <c r="J272" s="496"/>
      <c r="K272" s="496">
        <v>-1357.8600000000001</v>
      </c>
      <c r="L272" s="496"/>
      <c r="M272" s="496">
        <v>55100.339999999989</v>
      </c>
      <c r="N272" s="496">
        <v>2307.21</v>
      </c>
      <c r="O272" s="496">
        <v>7451.02</v>
      </c>
      <c r="P272" s="1293">
        <v>0</v>
      </c>
      <c r="Q272" s="496">
        <v>327241.15000000002</v>
      </c>
    </row>
    <row r="273" spans="1:17" hidden="1">
      <c r="A273" s="504" t="s">
        <v>767</v>
      </c>
      <c r="B273" s="496">
        <v>15</v>
      </c>
      <c r="C273" s="496">
        <v>23484.100000000002</v>
      </c>
      <c r="D273" s="496"/>
      <c r="E273" s="496">
        <v>0</v>
      </c>
      <c r="F273" s="496">
        <v>0</v>
      </c>
      <c r="G273" s="496">
        <v>0</v>
      </c>
      <c r="H273" s="496">
        <v>2850</v>
      </c>
      <c r="I273" s="496">
        <v>118829.53000000001</v>
      </c>
      <c r="J273" s="496"/>
      <c r="K273" s="496">
        <v>0</v>
      </c>
      <c r="L273" s="496"/>
      <c r="M273" s="496">
        <v>11316.21</v>
      </c>
      <c r="N273" s="496">
        <v>1878.7199999999998</v>
      </c>
      <c r="O273" s="496">
        <v>0</v>
      </c>
      <c r="P273" s="1293">
        <v>0</v>
      </c>
      <c r="Q273" s="496">
        <v>134874.46</v>
      </c>
    </row>
    <row r="274" spans="1:17" hidden="1">
      <c r="A274" s="504" t="s">
        <v>768</v>
      </c>
      <c r="B274" s="496">
        <v>23</v>
      </c>
      <c r="C274" s="496">
        <v>458482</v>
      </c>
      <c r="D274" s="496"/>
      <c r="E274" s="496">
        <v>2213</v>
      </c>
      <c r="F274" s="496">
        <v>1239.8000000000002</v>
      </c>
      <c r="G274" s="496">
        <v>1029</v>
      </c>
      <c r="H274" s="496">
        <v>154350</v>
      </c>
      <c r="I274" s="496">
        <v>3200204.3599999989</v>
      </c>
      <c r="J274" s="496"/>
      <c r="K274" s="496">
        <v>-48358.400000000001</v>
      </c>
      <c r="L274" s="496"/>
      <c r="M274" s="496">
        <v>258243.99999999997</v>
      </c>
      <c r="N274" s="496">
        <v>36678.560000000012</v>
      </c>
      <c r="O274" s="496">
        <v>-172091.22000000003</v>
      </c>
      <c r="P274" s="1293">
        <v>7029</v>
      </c>
      <c r="Q274" s="496">
        <v>3436056.3000000003</v>
      </c>
    </row>
    <row r="275" spans="1:17" ht="15" hidden="1">
      <c r="A275" s="505"/>
      <c r="B275" s="506">
        <f>SUM(B269:B274)</f>
        <v>98</v>
      </c>
      <c r="C275" s="506">
        <f t="shared" ref="C275" si="115">SUM(C269:C274)</f>
        <v>7322020</v>
      </c>
      <c r="D275" s="506">
        <f t="shared" ref="D275" si="116">SUM(D269:D274)</f>
        <v>0</v>
      </c>
      <c r="E275" s="506">
        <f t="shared" ref="E275" si="117">SUM(E269:E274)</f>
        <v>28146</v>
      </c>
      <c r="F275" s="506">
        <f t="shared" ref="F275" si="118">SUM(F269:F274)</f>
        <v>16609.829999999998</v>
      </c>
      <c r="G275" s="506">
        <f t="shared" ref="G275" si="119">SUM(G269:G274)</f>
        <v>18375</v>
      </c>
      <c r="H275" s="506">
        <f t="shared" ref="H275" si="120">SUM(H269:H274)</f>
        <v>3454460</v>
      </c>
      <c r="I275" s="506">
        <f t="shared" ref="I275" si="121">SUM(I269:I274)</f>
        <v>51332196.530000009</v>
      </c>
      <c r="J275" s="506">
        <f t="shared" ref="J275" si="122">SUM(J269:J274)</f>
        <v>0</v>
      </c>
      <c r="K275" s="506">
        <f t="shared" ref="K275" si="123">SUM(K269:K274)</f>
        <v>-690259.43</v>
      </c>
      <c r="L275" s="506">
        <f t="shared" ref="L275" si="124">SUM(L269:L274)</f>
        <v>0</v>
      </c>
      <c r="M275" s="506">
        <f t="shared" ref="M275" si="125">SUM(M269:M274)</f>
        <v>4344028.53</v>
      </c>
      <c r="N275" s="506">
        <f t="shared" ref="N275" si="126">SUM(N269:N274)</f>
        <v>585761.58000000007</v>
      </c>
      <c r="O275" s="506">
        <f t="shared" ref="O275" si="127">SUM(O269:O274)</f>
        <v>-2272752.850000001</v>
      </c>
      <c r="P275" s="1294">
        <f t="shared" ref="P275" si="128">SUM(P269:P274)</f>
        <v>40374</v>
      </c>
      <c r="Q275" s="506">
        <f t="shared" ref="Q275" si="129">SUM(Q269:Q274)</f>
        <v>56793808.359999992</v>
      </c>
    </row>
    <row r="276" spans="1:17" hidden="1">
      <c r="P276" s="1250"/>
    </row>
    <row r="277" spans="1:17" hidden="1">
      <c r="A277" s="462">
        <v>42217</v>
      </c>
      <c r="P277" s="1250"/>
    </row>
    <row r="278" spans="1:17" ht="30" hidden="1">
      <c r="A278" s="476" t="s">
        <v>849</v>
      </c>
      <c r="B278" s="476" t="s">
        <v>772</v>
      </c>
      <c r="C278" s="476" t="s">
        <v>773</v>
      </c>
      <c r="D278" s="476" t="s">
        <v>828</v>
      </c>
      <c r="E278" s="476" t="s">
        <v>829</v>
      </c>
      <c r="F278" s="476" t="s">
        <v>830</v>
      </c>
      <c r="G278" s="476" t="s">
        <v>831</v>
      </c>
      <c r="H278" s="476" t="s">
        <v>832</v>
      </c>
      <c r="I278" s="476" t="s">
        <v>833</v>
      </c>
      <c r="J278" s="476" t="s">
        <v>834</v>
      </c>
      <c r="K278" s="476" t="s">
        <v>835</v>
      </c>
      <c r="L278" s="476" t="s">
        <v>836</v>
      </c>
      <c r="M278" s="476" t="s">
        <v>837</v>
      </c>
      <c r="N278" s="476" t="s">
        <v>838</v>
      </c>
      <c r="O278" s="476" t="s">
        <v>847</v>
      </c>
      <c r="P278" s="1292" t="s">
        <v>840</v>
      </c>
      <c r="Q278" s="476" t="s">
        <v>841</v>
      </c>
    </row>
    <row r="279" spans="1:17" hidden="1">
      <c r="A279" s="504" t="s">
        <v>769</v>
      </c>
      <c r="B279" s="496">
        <v>43</v>
      </c>
      <c r="C279" s="496">
        <v>6474253.1600000001</v>
      </c>
      <c r="E279" s="496">
        <v>25559</v>
      </c>
      <c r="F279" s="496">
        <v>15129.37</v>
      </c>
      <c r="G279" s="496">
        <v>16747</v>
      </c>
      <c r="H279" s="496">
        <v>3181930</v>
      </c>
      <c r="I279" s="496">
        <v>45384514.650000013</v>
      </c>
      <c r="J279" s="496"/>
      <c r="K279" s="496">
        <v>-639890.23999999987</v>
      </c>
      <c r="L279" s="496"/>
      <c r="M279" s="496">
        <v>3796482.4200000004</v>
      </c>
      <c r="N279" s="496">
        <v>517940.27999999997</v>
      </c>
      <c r="O279" s="496">
        <v>-1884647.4600000002</v>
      </c>
      <c r="P279" s="1293">
        <v>33630</v>
      </c>
      <c r="Q279" s="496">
        <v>50389959.650000006</v>
      </c>
    </row>
    <row r="280" spans="1:17" hidden="1">
      <c r="A280" s="504" t="s">
        <v>770</v>
      </c>
      <c r="B280" s="496">
        <v>1</v>
      </c>
      <c r="C280" s="496">
        <v>4324.2</v>
      </c>
      <c r="D280" s="496"/>
      <c r="E280" s="496">
        <v>250</v>
      </c>
      <c r="F280" s="496">
        <v>18.850000000000001</v>
      </c>
      <c r="G280" s="496">
        <v>125</v>
      </c>
      <c r="H280" s="496">
        <v>23750</v>
      </c>
      <c r="I280" s="496">
        <v>45187.89</v>
      </c>
      <c r="J280" s="496"/>
      <c r="K280" s="496">
        <v>236.03</v>
      </c>
      <c r="L280" s="496"/>
      <c r="M280" s="496">
        <v>14526.52</v>
      </c>
      <c r="N280" s="496">
        <v>345.94</v>
      </c>
      <c r="O280" s="496">
        <v>-691.74</v>
      </c>
      <c r="P280" s="1293">
        <v>0</v>
      </c>
      <c r="Q280" s="496">
        <v>83354.64</v>
      </c>
    </row>
    <row r="281" spans="1:17" hidden="1">
      <c r="A281" s="504" t="s">
        <v>765</v>
      </c>
      <c r="B281" s="496">
        <v>8</v>
      </c>
      <c r="C281" s="496">
        <v>7098.1999999999989</v>
      </c>
      <c r="D281" s="496"/>
      <c r="E281" s="496">
        <v>19</v>
      </c>
      <c r="F281" s="496">
        <v>0</v>
      </c>
      <c r="G281" s="496">
        <v>0</v>
      </c>
      <c r="H281" s="496">
        <v>1520</v>
      </c>
      <c r="I281" s="496">
        <v>56060.340000000011</v>
      </c>
      <c r="J281" s="496"/>
      <c r="K281" s="496">
        <v>0</v>
      </c>
      <c r="L281" s="496"/>
      <c r="M281" s="496">
        <v>12091.87</v>
      </c>
      <c r="N281" s="496">
        <v>567.84999999999991</v>
      </c>
      <c r="O281" s="496">
        <v>0</v>
      </c>
      <c r="P281" s="1293">
        <v>0</v>
      </c>
      <c r="Q281" s="496">
        <v>70240.06</v>
      </c>
    </row>
    <row r="282" spans="1:17" hidden="1">
      <c r="A282" s="504" t="s">
        <v>766</v>
      </c>
      <c r="B282" s="496">
        <v>7</v>
      </c>
      <c r="C282" s="496">
        <v>27027.9</v>
      </c>
      <c r="D282" s="496"/>
      <c r="E282" s="496">
        <v>245</v>
      </c>
      <c r="F282" s="496">
        <v>124.42</v>
      </c>
      <c r="G282" s="496">
        <v>108</v>
      </c>
      <c r="H282" s="496">
        <v>20520</v>
      </c>
      <c r="I282" s="496">
        <v>228115.48000000004</v>
      </c>
      <c r="J282" s="496"/>
      <c r="K282" s="496">
        <v>-994.7199999999998</v>
      </c>
      <c r="L282" s="496"/>
      <c r="M282" s="496">
        <v>52004.57</v>
      </c>
      <c r="N282" s="496">
        <v>2162.2299999999996</v>
      </c>
      <c r="O282" s="496">
        <v>2484.66</v>
      </c>
      <c r="P282" s="1293">
        <v>0</v>
      </c>
      <c r="Q282" s="496">
        <v>304292.22000000003</v>
      </c>
    </row>
    <row r="283" spans="1:17" hidden="1">
      <c r="A283" s="504" t="s">
        <v>767</v>
      </c>
      <c r="B283" s="496">
        <v>15</v>
      </c>
      <c r="C283" s="496">
        <v>24043.399999999998</v>
      </c>
      <c r="D283" s="496"/>
      <c r="E283" s="496">
        <v>0</v>
      </c>
      <c r="F283" s="496">
        <v>0</v>
      </c>
      <c r="G283" s="496">
        <v>0</v>
      </c>
      <c r="H283" s="496">
        <v>2850</v>
      </c>
      <c r="I283" s="496">
        <v>121659.61</v>
      </c>
      <c r="J283" s="496"/>
      <c r="K283" s="496">
        <v>0</v>
      </c>
      <c r="L283" s="496"/>
      <c r="M283" s="496">
        <v>11579.390000000001</v>
      </c>
      <c r="N283" s="496">
        <v>1923.4800000000005</v>
      </c>
      <c r="O283" s="496">
        <v>0</v>
      </c>
      <c r="P283" s="1293">
        <v>0</v>
      </c>
      <c r="Q283" s="496">
        <v>138012.47999999995</v>
      </c>
    </row>
    <row r="284" spans="1:17" hidden="1">
      <c r="A284" s="504" t="s">
        <v>768</v>
      </c>
      <c r="B284" s="496">
        <v>25</v>
      </c>
      <c r="C284" s="496">
        <v>501784</v>
      </c>
      <c r="D284" s="496"/>
      <c r="E284" s="496">
        <v>2373</v>
      </c>
      <c r="F284" s="496">
        <v>1454.3200000000004</v>
      </c>
      <c r="G284" s="496">
        <v>1109</v>
      </c>
      <c r="H284" s="496">
        <v>166350</v>
      </c>
      <c r="I284" s="496">
        <v>3502452.32</v>
      </c>
      <c r="J284" s="496"/>
      <c r="K284" s="496">
        <v>-50782.68</v>
      </c>
      <c r="L284" s="496"/>
      <c r="M284" s="496">
        <v>285150.71000000002</v>
      </c>
      <c r="N284" s="496">
        <v>40142.720000000001</v>
      </c>
      <c r="O284" s="496">
        <v>-184942.69999999998</v>
      </c>
      <c r="P284" s="1293">
        <v>6624</v>
      </c>
      <c r="Q284" s="496">
        <v>3764994.37</v>
      </c>
    </row>
    <row r="285" spans="1:17" ht="15" hidden="1">
      <c r="A285" s="505"/>
      <c r="B285" s="506">
        <f>SUM(B279:B284)</f>
        <v>99</v>
      </c>
      <c r="C285" s="506">
        <f t="shared" ref="C285" si="130">SUM(C279:C284)</f>
        <v>7038530.8600000013</v>
      </c>
      <c r="D285" s="506">
        <f t="shared" ref="D285" si="131">SUM(D279:D284)</f>
        <v>0</v>
      </c>
      <c r="E285" s="506">
        <f t="shared" ref="E285" si="132">SUM(E279:E284)</f>
        <v>28446</v>
      </c>
      <c r="F285" s="506">
        <f t="shared" ref="F285" si="133">SUM(F279:F284)</f>
        <v>16726.960000000003</v>
      </c>
      <c r="G285" s="506">
        <f t="shared" ref="G285" si="134">SUM(G279:G284)</f>
        <v>18089</v>
      </c>
      <c r="H285" s="506">
        <f t="shared" ref="H285" si="135">SUM(H279:H284)</f>
        <v>3396920</v>
      </c>
      <c r="I285" s="506">
        <f t="shared" ref="I285" si="136">SUM(I279:I284)</f>
        <v>49337990.290000014</v>
      </c>
      <c r="J285" s="506">
        <f t="shared" ref="J285" si="137">SUM(J279:J284)</f>
        <v>0</v>
      </c>
      <c r="K285" s="506">
        <f t="shared" ref="K285" si="138">SUM(K279:K284)</f>
        <v>-691431.60999999987</v>
      </c>
      <c r="L285" s="506">
        <f t="shared" ref="L285" si="139">SUM(L279:L284)</f>
        <v>0</v>
      </c>
      <c r="M285" s="506">
        <f t="shared" ref="M285" si="140">SUM(M279:M284)</f>
        <v>4171835.4800000004</v>
      </c>
      <c r="N285" s="506">
        <f t="shared" ref="N285" si="141">SUM(N279:N284)</f>
        <v>563082.49999999988</v>
      </c>
      <c r="O285" s="506">
        <f t="shared" ref="O285" si="142">SUM(O279:O284)</f>
        <v>-2067797.2400000002</v>
      </c>
      <c r="P285" s="1294">
        <f t="shared" ref="P285" si="143">SUM(P279:P284)</f>
        <v>40254</v>
      </c>
      <c r="Q285" s="506">
        <f t="shared" ref="Q285" si="144">SUM(Q279:Q284)</f>
        <v>54750853.420000002</v>
      </c>
    </row>
    <row r="286" spans="1:17" hidden="1">
      <c r="P286" s="1250"/>
    </row>
    <row r="287" spans="1:17" hidden="1">
      <c r="A287" s="462">
        <v>42248</v>
      </c>
      <c r="P287" s="1250"/>
    </row>
    <row r="288" spans="1:17" ht="30" hidden="1">
      <c r="A288" s="476" t="s">
        <v>849</v>
      </c>
      <c r="B288" s="476" t="s">
        <v>772</v>
      </c>
      <c r="C288" s="476" t="s">
        <v>773</v>
      </c>
      <c r="D288" s="476" t="s">
        <v>828</v>
      </c>
      <c r="E288" s="476" t="s">
        <v>829</v>
      </c>
      <c r="F288" s="476" t="s">
        <v>830</v>
      </c>
      <c r="G288" s="476" t="s">
        <v>831</v>
      </c>
      <c r="H288" s="476" t="s">
        <v>832</v>
      </c>
      <c r="I288" s="476" t="s">
        <v>833</v>
      </c>
      <c r="J288" s="476" t="s">
        <v>834</v>
      </c>
      <c r="K288" s="476" t="s">
        <v>835</v>
      </c>
      <c r="L288" s="476" t="s">
        <v>836</v>
      </c>
      <c r="M288" s="476" t="s">
        <v>837</v>
      </c>
      <c r="N288" s="476" t="s">
        <v>838</v>
      </c>
      <c r="O288" s="476" t="s">
        <v>847</v>
      </c>
      <c r="P288" s="1292" t="s">
        <v>840</v>
      </c>
      <c r="Q288" s="476" t="s">
        <v>841</v>
      </c>
    </row>
    <row r="289" spans="1:17" hidden="1">
      <c r="A289" s="504" t="s">
        <v>769</v>
      </c>
      <c r="B289" s="496">
        <v>42</v>
      </c>
      <c r="C289" s="496">
        <v>6409270.21</v>
      </c>
      <c r="E289" s="496">
        <v>25106</v>
      </c>
      <c r="F289" s="496">
        <v>15880.96</v>
      </c>
      <c r="G289" s="496">
        <v>16861</v>
      </c>
      <c r="H289" s="496">
        <v>3203780</v>
      </c>
      <c r="I289" s="496">
        <v>44925109.910000004</v>
      </c>
      <c r="J289" s="496"/>
      <c r="K289" s="496">
        <v>-596159.52</v>
      </c>
      <c r="L289" s="496"/>
      <c r="M289" s="496">
        <v>3754687.060000001</v>
      </c>
      <c r="N289" s="496">
        <v>512741.62000000005</v>
      </c>
      <c r="O289" s="496">
        <v>-2015822.8399999996</v>
      </c>
      <c r="P289" s="1293">
        <v>52440</v>
      </c>
      <c r="Q289" s="496">
        <v>49836776.230000004</v>
      </c>
    </row>
    <row r="290" spans="1:17" hidden="1">
      <c r="A290" s="504" t="s">
        <v>770</v>
      </c>
      <c r="B290" s="496">
        <v>1</v>
      </c>
      <c r="C290" s="496">
        <v>4687.8</v>
      </c>
      <c r="D290" s="496"/>
      <c r="E290" s="496">
        <v>250</v>
      </c>
      <c r="F290" s="496">
        <v>20.079999999999998</v>
      </c>
      <c r="G290" s="496">
        <v>125</v>
      </c>
      <c r="H290" s="496">
        <v>23750</v>
      </c>
      <c r="I290" s="496">
        <v>48987.51</v>
      </c>
      <c r="J290" s="496"/>
      <c r="K290" s="496">
        <v>506.71</v>
      </c>
      <c r="L290" s="496"/>
      <c r="M290" s="496">
        <v>15381.29</v>
      </c>
      <c r="N290" s="496">
        <v>375.02</v>
      </c>
      <c r="O290" s="496">
        <v>-2197.33</v>
      </c>
      <c r="P290" s="1293">
        <v>0</v>
      </c>
      <c r="Q290" s="496">
        <v>86803.200000000012</v>
      </c>
    </row>
    <row r="291" spans="1:17" hidden="1">
      <c r="A291" s="504" t="s">
        <v>765</v>
      </c>
      <c r="B291" s="496">
        <v>7</v>
      </c>
      <c r="C291" s="496">
        <v>6786.2</v>
      </c>
      <c r="D291" s="496"/>
      <c r="E291" s="496">
        <v>0</v>
      </c>
      <c r="F291" s="496">
        <v>0</v>
      </c>
      <c r="G291" s="496">
        <v>0</v>
      </c>
      <c r="H291" s="496">
        <v>1330</v>
      </c>
      <c r="I291" s="496">
        <v>53653.240000000005</v>
      </c>
      <c r="J291" s="496"/>
      <c r="K291" s="496">
        <v>0</v>
      </c>
      <c r="L291" s="496"/>
      <c r="M291" s="496">
        <v>11546.490000000002</v>
      </c>
      <c r="N291" s="496">
        <v>542.90000000000009</v>
      </c>
      <c r="O291" s="496">
        <v>0</v>
      </c>
      <c r="P291" s="1293">
        <v>0</v>
      </c>
      <c r="Q291" s="496">
        <v>67072.63</v>
      </c>
    </row>
    <row r="292" spans="1:17" hidden="1">
      <c r="A292" s="504" t="s">
        <v>766</v>
      </c>
      <c r="B292" s="496">
        <v>8</v>
      </c>
      <c r="C292" s="496">
        <v>39234</v>
      </c>
      <c r="D292" s="496"/>
      <c r="E292" s="496">
        <v>340</v>
      </c>
      <c r="F292" s="496">
        <v>147.71</v>
      </c>
      <c r="G292" s="496">
        <v>143</v>
      </c>
      <c r="H292" s="496">
        <v>25570</v>
      </c>
      <c r="I292" s="496">
        <v>320841.96000000002</v>
      </c>
      <c r="J292" s="496"/>
      <c r="K292" s="496">
        <v>-1124.07</v>
      </c>
      <c r="L292" s="496"/>
      <c r="M292" s="496">
        <v>65939.039999999994</v>
      </c>
      <c r="N292" s="496">
        <v>3138.7200000000003</v>
      </c>
      <c r="O292" s="496">
        <v>-3680.06</v>
      </c>
      <c r="P292" s="1293">
        <v>0</v>
      </c>
      <c r="Q292" s="496">
        <v>410685.59</v>
      </c>
    </row>
    <row r="293" spans="1:17" hidden="1">
      <c r="A293" s="504" t="s">
        <v>767</v>
      </c>
      <c r="B293" s="496">
        <v>14</v>
      </c>
      <c r="C293" s="496">
        <v>22234.1</v>
      </c>
      <c r="D293" s="496"/>
      <c r="E293" s="496">
        <v>0</v>
      </c>
      <c r="F293" s="496">
        <v>0</v>
      </c>
      <c r="G293" s="496">
        <v>0</v>
      </c>
      <c r="H293" s="496">
        <v>2660</v>
      </c>
      <c r="I293" s="496">
        <v>112504.55</v>
      </c>
      <c r="J293" s="496"/>
      <c r="K293" s="496">
        <v>0</v>
      </c>
      <c r="L293" s="496"/>
      <c r="M293" s="496">
        <v>10710.310000000001</v>
      </c>
      <c r="N293" s="496">
        <v>1778.7399999999998</v>
      </c>
      <c r="O293" s="496">
        <v>0</v>
      </c>
      <c r="P293" s="1293">
        <v>0</v>
      </c>
      <c r="Q293" s="496">
        <v>127653.59999999998</v>
      </c>
    </row>
    <row r="294" spans="1:17" hidden="1">
      <c r="A294" s="504" t="s">
        <v>768</v>
      </c>
      <c r="B294" s="496">
        <v>26</v>
      </c>
      <c r="C294" s="496">
        <v>562859.37</v>
      </c>
      <c r="D294" s="496"/>
      <c r="E294" s="496">
        <v>2664</v>
      </c>
      <c r="F294" s="496">
        <v>1453.7999999999995</v>
      </c>
      <c r="G294" s="496">
        <v>1228</v>
      </c>
      <c r="H294" s="496">
        <v>189440</v>
      </c>
      <c r="I294" s="496">
        <v>3929978.4400000004</v>
      </c>
      <c r="J294" s="496"/>
      <c r="K294" s="496">
        <v>-54116.959999999999</v>
      </c>
      <c r="L294" s="496"/>
      <c r="M294" s="496">
        <v>330273.32</v>
      </c>
      <c r="N294" s="496">
        <v>45028.75</v>
      </c>
      <c r="O294" s="496">
        <v>-220479.55</v>
      </c>
      <c r="P294" s="1293">
        <v>6678</v>
      </c>
      <c r="Q294" s="496">
        <v>4226802.0000000009</v>
      </c>
    </row>
    <row r="295" spans="1:17" ht="15" hidden="1">
      <c r="A295" s="505"/>
      <c r="B295" s="506">
        <f>SUM(B289:B294)</f>
        <v>98</v>
      </c>
      <c r="C295" s="506">
        <f t="shared" ref="C295" si="145">SUM(C289:C294)</f>
        <v>7045071.6799999997</v>
      </c>
      <c r="D295" s="506">
        <f t="shared" ref="D295" si="146">SUM(D289:D294)</f>
        <v>0</v>
      </c>
      <c r="E295" s="506">
        <f t="shared" ref="E295" si="147">SUM(E289:E294)</f>
        <v>28360</v>
      </c>
      <c r="F295" s="506">
        <f t="shared" ref="F295" si="148">SUM(F289:F294)</f>
        <v>17502.55</v>
      </c>
      <c r="G295" s="506">
        <f t="shared" ref="G295" si="149">SUM(G289:G294)</f>
        <v>18357</v>
      </c>
      <c r="H295" s="506">
        <f t="shared" ref="H295" si="150">SUM(H289:H294)</f>
        <v>3446530</v>
      </c>
      <c r="I295" s="506">
        <f t="shared" ref="I295" si="151">SUM(I289:I294)</f>
        <v>49391075.609999999</v>
      </c>
      <c r="J295" s="506">
        <f t="shared" ref="J295" si="152">SUM(J289:J294)</f>
        <v>0</v>
      </c>
      <c r="K295" s="506">
        <f t="shared" ref="K295" si="153">SUM(K289:K294)</f>
        <v>-650893.84</v>
      </c>
      <c r="L295" s="506">
        <f t="shared" ref="L295" si="154">SUM(L289:L294)</f>
        <v>0</v>
      </c>
      <c r="M295" s="506">
        <f t="shared" ref="M295" si="155">SUM(M289:M294)</f>
        <v>4188537.5100000012</v>
      </c>
      <c r="N295" s="506">
        <f t="shared" ref="N295" si="156">SUM(N289:N294)</f>
        <v>563605.75</v>
      </c>
      <c r="O295" s="506">
        <f t="shared" ref="O295" si="157">SUM(O289:O294)</f>
        <v>-2242179.7799999998</v>
      </c>
      <c r="P295" s="1294">
        <f t="shared" ref="P295" si="158">SUM(P289:P294)</f>
        <v>59118</v>
      </c>
      <c r="Q295" s="506">
        <f t="shared" ref="Q295" si="159">SUM(Q289:Q294)</f>
        <v>54755793.250000015</v>
      </c>
    </row>
    <row r="296" spans="1:17" ht="12.75" hidden="1" customHeight="1">
      <c r="P296" s="1250"/>
    </row>
    <row r="297" spans="1:17" hidden="1">
      <c r="A297" s="462">
        <v>42278</v>
      </c>
      <c r="P297" s="1250"/>
    </row>
    <row r="298" spans="1:17" ht="30" hidden="1">
      <c r="A298" s="476" t="s">
        <v>849</v>
      </c>
      <c r="B298" s="476" t="s">
        <v>772</v>
      </c>
      <c r="C298" s="476" t="s">
        <v>773</v>
      </c>
      <c r="D298" s="476" t="s">
        <v>828</v>
      </c>
      <c r="E298" s="476" t="s">
        <v>829</v>
      </c>
      <c r="F298" s="476" t="s">
        <v>830</v>
      </c>
      <c r="G298" s="476" t="s">
        <v>831</v>
      </c>
      <c r="H298" s="476" t="s">
        <v>832</v>
      </c>
      <c r="I298" s="476" t="s">
        <v>833</v>
      </c>
      <c r="J298" s="476" t="s">
        <v>834</v>
      </c>
      <c r="K298" s="476" t="s">
        <v>835</v>
      </c>
      <c r="L298" s="476" t="s">
        <v>836</v>
      </c>
      <c r="M298" s="476" t="s">
        <v>837</v>
      </c>
      <c r="N298" s="476" t="s">
        <v>838</v>
      </c>
      <c r="O298" s="476" t="s">
        <v>847</v>
      </c>
      <c r="P298" s="1292" t="s">
        <v>840</v>
      </c>
      <c r="Q298" s="476" t="s">
        <v>841</v>
      </c>
    </row>
    <row r="299" spans="1:17" hidden="1">
      <c r="A299" s="504" t="s">
        <v>769</v>
      </c>
      <c r="B299" s="496">
        <v>42</v>
      </c>
      <c r="C299" s="496">
        <v>6875592.3500000006</v>
      </c>
      <c r="E299" s="496">
        <v>25620</v>
      </c>
      <c r="F299" s="496">
        <v>16537.809999999998</v>
      </c>
      <c r="G299" s="496">
        <v>17688</v>
      </c>
      <c r="H299" s="496">
        <v>3360720</v>
      </c>
      <c r="I299" s="496">
        <v>48197902.380000003</v>
      </c>
      <c r="J299" s="496"/>
      <c r="K299" s="496">
        <v>-629367.22999999986</v>
      </c>
      <c r="L299" s="496"/>
      <c r="M299" s="496">
        <v>4013509.1400000006</v>
      </c>
      <c r="N299" s="496">
        <v>550047.40000000014</v>
      </c>
      <c r="O299" s="496">
        <v>-1851027.7199999997</v>
      </c>
      <c r="P299" s="1293">
        <v>43605</v>
      </c>
      <c r="Q299" s="496">
        <v>53685388.969999999</v>
      </c>
    </row>
    <row r="300" spans="1:17" hidden="1">
      <c r="A300" s="504" t="s">
        <v>770</v>
      </c>
      <c r="B300" s="496">
        <v>1</v>
      </c>
      <c r="C300" s="496">
        <v>5859.4</v>
      </c>
      <c r="D300" s="496"/>
      <c r="E300" s="496">
        <v>250</v>
      </c>
      <c r="F300" s="496">
        <v>23.26</v>
      </c>
      <c r="G300" s="496">
        <v>125</v>
      </c>
      <c r="H300" s="496">
        <v>23750</v>
      </c>
      <c r="I300" s="496">
        <v>61230.73</v>
      </c>
      <c r="J300" s="496"/>
      <c r="K300" s="496">
        <v>757.19</v>
      </c>
      <c r="L300" s="496"/>
      <c r="M300" s="496">
        <v>18004.96</v>
      </c>
      <c r="N300" s="496">
        <v>468.75</v>
      </c>
      <c r="O300" s="496">
        <v>-857.38</v>
      </c>
      <c r="P300" s="1293">
        <v>0</v>
      </c>
      <c r="Q300" s="496">
        <v>103354.25</v>
      </c>
    </row>
    <row r="301" spans="1:17" hidden="1">
      <c r="A301" s="504" t="s">
        <v>765</v>
      </c>
      <c r="B301" s="496">
        <v>9</v>
      </c>
      <c r="C301" s="496">
        <v>14820.8</v>
      </c>
      <c r="D301" s="496"/>
      <c r="E301" s="496">
        <v>20</v>
      </c>
      <c r="F301" s="496">
        <v>0</v>
      </c>
      <c r="G301" s="496">
        <v>0</v>
      </c>
      <c r="H301" s="496">
        <v>1710</v>
      </c>
      <c r="I301" s="496">
        <v>119936.52</v>
      </c>
      <c r="J301" s="496"/>
      <c r="K301" s="496">
        <v>0</v>
      </c>
      <c r="L301" s="496"/>
      <c r="M301" s="496">
        <v>25545.77</v>
      </c>
      <c r="N301" s="496">
        <v>1185.6599999999999</v>
      </c>
      <c r="O301" s="496">
        <v>0</v>
      </c>
      <c r="P301" s="1293">
        <v>0</v>
      </c>
      <c r="Q301" s="496">
        <v>148377.95000000001</v>
      </c>
    </row>
    <row r="302" spans="1:17" hidden="1">
      <c r="A302" s="504" t="s">
        <v>766</v>
      </c>
      <c r="B302" s="496">
        <v>7</v>
      </c>
      <c r="C302" s="496">
        <v>23538.400000000001</v>
      </c>
      <c r="D302" s="496"/>
      <c r="E302" s="496">
        <v>240</v>
      </c>
      <c r="F302" s="496">
        <v>99.51</v>
      </c>
      <c r="G302" s="496">
        <v>101</v>
      </c>
      <c r="H302" s="496">
        <v>19190</v>
      </c>
      <c r="I302" s="496">
        <v>198664.09999999998</v>
      </c>
      <c r="J302" s="496"/>
      <c r="K302" s="496">
        <v>-211.53000000000009</v>
      </c>
      <c r="L302" s="496"/>
      <c r="M302" s="496">
        <v>45860.549999999996</v>
      </c>
      <c r="N302" s="496">
        <v>1883.08</v>
      </c>
      <c r="O302" s="496">
        <v>-31.700000000000387</v>
      </c>
      <c r="P302" s="1293">
        <v>741</v>
      </c>
      <c r="Q302" s="496">
        <v>266095.5</v>
      </c>
    </row>
    <row r="303" spans="1:17" hidden="1">
      <c r="A303" s="504" t="s">
        <v>767</v>
      </c>
      <c r="B303" s="496">
        <v>15</v>
      </c>
      <c r="C303" s="496">
        <v>26201.899999999994</v>
      </c>
      <c r="D303" s="496"/>
      <c r="E303" s="496">
        <v>0</v>
      </c>
      <c r="F303" s="496">
        <v>0</v>
      </c>
      <c r="G303" s="496">
        <v>0</v>
      </c>
      <c r="H303" s="496">
        <v>2850</v>
      </c>
      <c r="I303" s="496">
        <v>132581.62999999998</v>
      </c>
      <c r="J303" s="496"/>
      <c r="K303" s="496">
        <v>0</v>
      </c>
      <c r="L303" s="496"/>
      <c r="M303" s="496">
        <v>12595.15</v>
      </c>
      <c r="N303" s="496">
        <v>2096.1499999999996</v>
      </c>
      <c r="O303" s="496">
        <v>0</v>
      </c>
      <c r="P303" s="1293">
        <v>0</v>
      </c>
      <c r="Q303" s="496">
        <v>150122.93000000002</v>
      </c>
    </row>
    <row r="304" spans="1:17" hidden="1">
      <c r="A304" s="504" t="s">
        <v>768</v>
      </c>
      <c r="B304" s="496">
        <v>26</v>
      </c>
      <c r="C304" s="496">
        <v>568766</v>
      </c>
      <c r="D304" s="496"/>
      <c r="E304" s="496">
        <v>2503</v>
      </c>
      <c r="F304" s="496">
        <v>1494.0800000000006</v>
      </c>
      <c r="G304" s="496">
        <v>1159</v>
      </c>
      <c r="H304" s="496">
        <v>173850</v>
      </c>
      <c r="I304" s="496">
        <v>3969986.6799999992</v>
      </c>
      <c r="J304" s="496"/>
      <c r="K304" s="496">
        <v>-44340.800000000017</v>
      </c>
      <c r="L304" s="496"/>
      <c r="M304" s="496">
        <v>332376.77</v>
      </c>
      <c r="N304" s="496">
        <v>45501.280000000006</v>
      </c>
      <c r="O304" s="496">
        <v>-227962.69000000003</v>
      </c>
      <c r="P304" s="1293">
        <v>13104</v>
      </c>
      <c r="Q304" s="496">
        <v>4262515.24</v>
      </c>
    </row>
    <row r="305" spans="1:17" ht="15" hidden="1">
      <c r="A305" s="505"/>
      <c r="B305" s="506">
        <f>SUM(B299:B304)</f>
        <v>100</v>
      </c>
      <c r="C305" s="506">
        <f t="shared" ref="C305" si="160">SUM(C299:C304)</f>
        <v>7514778.8500000015</v>
      </c>
      <c r="D305" s="506">
        <f t="shared" ref="D305" si="161">SUM(D299:D304)</f>
        <v>0</v>
      </c>
      <c r="E305" s="506">
        <f t="shared" ref="E305" si="162">SUM(E299:E304)</f>
        <v>28633</v>
      </c>
      <c r="F305" s="506">
        <f t="shared" ref="F305" si="163">SUM(F299:F304)</f>
        <v>18154.659999999996</v>
      </c>
      <c r="G305" s="506">
        <f t="shared" ref="G305" si="164">SUM(G299:G304)</f>
        <v>19073</v>
      </c>
      <c r="H305" s="506">
        <f t="shared" ref="H305" si="165">SUM(H299:H304)</f>
        <v>3582070</v>
      </c>
      <c r="I305" s="506">
        <f t="shared" ref="I305" si="166">SUM(I299:I304)</f>
        <v>52680302.040000007</v>
      </c>
      <c r="J305" s="506">
        <f t="shared" ref="J305" si="167">SUM(J299:J304)</f>
        <v>0</v>
      </c>
      <c r="K305" s="506">
        <f t="shared" ref="K305" si="168">SUM(K299:K304)</f>
        <v>-673162.37</v>
      </c>
      <c r="L305" s="506">
        <f t="shared" ref="L305" si="169">SUM(L299:L304)</f>
        <v>0</v>
      </c>
      <c r="M305" s="506">
        <f t="shared" ref="M305" si="170">SUM(M299:M304)</f>
        <v>4447892.34</v>
      </c>
      <c r="N305" s="506">
        <f t="shared" ref="N305" si="171">SUM(N299:N304)</f>
        <v>601182.32000000018</v>
      </c>
      <c r="O305" s="506">
        <f t="shared" ref="O305" si="172">SUM(O299:O304)</f>
        <v>-2079879.4899999995</v>
      </c>
      <c r="P305" s="1294">
        <f t="shared" ref="P305" si="173">SUM(P299:P304)</f>
        <v>57450</v>
      </c>
      <c r="Q305" s="506">
        <f t="shared" ref="Q305" si="174">SUM(Q299:Q304)</f>
        <v>58615854.840000004</v>
      </c>
    </row>
    <row r="306" spans="1:17" hidden="1">
      <c r="C306" s="421">
        <f>C305/10^6</f>
        <v>7.5147788500000017</v>
      </c>
      <c r="P306" s="1250"/>
    </row>
    <row r="307" spans="1:17" hidden="1">
      <c r="A307" s="462">
        <v>42309</v>
      </c>
      <c r="P307" s="1250"/>
    </row>
    <row r="308" spans="1:17" ht="30" hidden="1">
      <c r="A308" s="476" t="s">
        <v>849</v>
      </c>
      <c r="B308" s="476" t="s">
        <v>772</v>
      </c>
      <c r="C308" s="476" t="s">
        <v>773</v>
      </c>
      <c r="D308" s="476" t="s">
        <v>828</v>
      </c>
      <c r="E308" s="476" t="s">
        <v>829</v>
      </c>
      <c r="F308" s="476" t="s">
        <v>830</v>
      </c>
      <c r="G308" s="476" t="s">
        <v>831</v>
      </c>
      <c r="H308" s="476" t="s">
        <v>832</v>
      </c>
      <c r="I308" s="476" t="s">
        <v>833</v>
      </c>
      <c r="J308" s="476" t="s">
        <v>834</v>
      </c>
      <c r="K308" s="476" t="s">
        <v>835</v>
      </c>
      <c r="L308" s="476" t="s">
        <v>836</v>
      </c>
      <c r="M308" s="476" t="s">
        <v>837</v>
      </c>
      <c r="N308" s="476" t="s">
        <v>838</v>
      </c>
      <c r="O308" s="476" t="s">
        <v>847</v>
      </c>
      <c r="P308" s="1292" t="s">
        <v>840</v>
      </c>
      <c r="Q308" s="476" t="s">
        <v>841</v>
      </c>
    </row>
    <row r="309" spans="1:17" hidden="1">
      <c r="A309" s="504" t="s">
        <v>769</v>
      </c>
      <c r="B309" s="496">
        <v>41</v>
      </c>
      <c r="C309" s="496">
        <v>6243628.1599999992</v>
      </c>
      <c r="E309" s="496">
        <v>25620</v>
      </c>
      <c r="F309" s="496">
        <v>15421.620000000003</v>
      </c>
      <c r="G309" s="496">
        <v>16863</v>
      </c>
      <c r="H309" s="496">
        <v>3203970</v>
      </c>
      <c r="I309" s="496">
        <v>43767833.420000009</v>
      </c>
      <c r="J309" s="496"/>
      <c r="K309" s="496">
        <v>-560876.37000000011</v>
      </c>
      <c r="L309" s="496"/>
      <c r="M309" s="496">
        <v>3655995.1399999992</v>
      </c>
      <c r="N309" s="496">
        <v>564423.97999999986</v>
      </c>
      <c r="O309" s="496">
        <v>-1972163.9600000002</v>
      </c>
      <c r="P309" s="1293">
        <v>42465</v>
      </c>
      <c r="Q309" s="496">
        <v>48701647.210000008</v>
      </c>
    </row>
    <row r="310" spans="1:17" hidden="1">
      <c r="A310" s="504" t="s">
        <v>770</v>
      </c>
      <c r="B310" s="496">
        <v>1</v>
      </c>
      <c r="C310" s="496">
        <v>5172.6000000000004</v>
      </c>
      <c r="D310" s="496"/>
      <c r="E310" s="496">
        <v>250</v>
      </c>
      <c r="F310" s="496">
        <v>23.75</v>
      </c>
      <c r="G310" s="496">
        <v>125</v>
      </c>
      <c r="H310" s="496">
        <v>23750</v>
      </c>
      <c r="I310" s="496">
        <v>54053.67</v>
      </c>
      <c r="J310" s="496"/>
      <c r="K310" s="496">
        <v>692.55</v>
      </c>
      <c r="L310" s="496"/>
      <c r="M310" s="496">
        <v>16484.21</v>
      </c>
      <c r="N310" s="496">
        <v>467.6</v>
      </c>
      <c r="O310" s="496">
        <v>-784.96</v>
      </c>
      <c r="P310" s="1293">
        <v>0</v>
      </c>
      <c r="Q310" s="496">
        <v>94663.069999999992</v>
      </c>
    </row>
    <row r="311" spans="1:17" hidden="1">
      <c r="A311" s="504" t="s">
        <v>765</v>
      </c>
      <c r="B311" s="496">
        <v>10</v>
      </c>
      <c r="C311" s="496">
        <v>9525.7000000000007</v>
      </c>
      <c r="D311" s="496"/>
      <c r="E311" s="496">
        <v>35</v>
      </c>
      <c r="F311" s="496">
        <v>0</v>
      </c>
      <c r="G311" s="496">
        <v>0</v>
      </c>
      <c r="H311" s="496">
        <v>1900</v>
      </c>
      <c r="I311" s="496">
        <v>71036.44</v>
      </c>
      <c r="J311" s="496"/>
      <c r="K311" s="496">
        <v>0</v>
      </c>
      <c r="L311" s="496"/>
      <c r="M311" s="496">
        <v>14483.35</v>
      </c>
      <c r="N311" s="496">
        <v>861.12</v>
      </c>
      <c r="O311" s="496">
        <v>0</v>
      </c>
      <c r="P311" s="1293">
        <v>0</v>
      </c>
      <c r="Q311" s="496">
        <v>88280.91</v>
      </c>
    </row>
    <row r="312" spans="1:17" hidden="1">
      <c r="A312" s="504" t="s">
        <v>766</v>
      </c>
      <c r="B312" s="496">
        <v>7</v>
      </c>
      <c r="C312" s="496">
        <v>22342.5</v>
      </c>
      <c r="D312" s="496"/>
      <c r="E312" s="496">
        <v>240</v>
      </c>
      <c r="F312" s="496">
        <v>106.18</v>
      </c>
      <c r="G312" s="496">
        <v>99</v>
      </c>
      <c r="H312" s="496">
        <v>18810</v>
      </c>
      <c r="I312" s="496">
        <v>188570.7</v>
      </c>
      <c r="J312" s="496"/>
      <c r="K312" s="496">
        <v>-691.18000000000006</v>
      </c>
      <c r="L312" s="496"/>
      <c r="M312" s="496">
        <v>43404.799999999996</v>
      </c>
      <c r="N312" s="496">
        <v>2019.7799999999997</v>
      </c>
      <c r="O312" s="496">
        <v>-1368.4099999999999</v>
      </c>
      <c r="P312" s="1293">
        <v>0</v>
      </c>
      <c r="Q312" s="496">
        <v>250745.68999999997</v>
      </c>
    </row>
    <row r="313" spans="1:17" hidden="1">
      <c r="A313" s="504" t="s">
        <v>767</v>
      </c>
      <c r="B313" s="496">
        <v>15</v>
      </c>
      <c r="C313" s="496">
        <v>25445.1</v>
      </c>
      <c r="D313" s="496"/>
      <c r="E313" s="496">
        <v>0</v>
      </c>
      <c r="F313" s="496">
        <v>0</v>
      </c>
      <c r="G313" s="496">
        <v>0</v>
      </c>
      <c r="H313" s="496">
        <v>2850</v>
      </c>
      <c r="I313" s="496">
        <v>128752.21</v>
      </c>
      <c r="J313" s="496"/>
      <c r="K313" s="496">
        <v>0</v>
      </c>
      <c r="L313" s="496"/>
      <c r="M313" s="496">
        <v>12238.999999999998</v>
      </c>
      <c r="N313" s="496">
        <v>2300.27</v>
      </c>
      <c r="O313" s="496">
        <v>0</v>
      </c>
      <c r="P313" s="1293">
        <v>0</v>
      </c>
      <c r="Q313" s="496">
        <v>146141.48000000001</v>
      </c>
    </row>
    <row r="314" spans="1:17" hidden="1">
      <c r="A314" s="504" t="s">
        <v>768</v>
      </c>
      <c r="B314" s="496">
        <v>27</v>
      </c>
      <c r="C314" s="496">
        <v>541748</v>
      </c>
      <c r="D314" s="496"/>
      <c r="E314" s="496">
        <v>2618</v>
      </c>
      <c r="F314" s="496">
        <v>1490.6</v>
      </c>
      <c r="G314" s="496">
        <v>1199</v>
      </c>
      <c r="H314" s="496">
        <v>179850</v>
      </c>
      <c r="I314" s="496">
        <v>3781401.04</v>
      </c>
      <c r="J314" s="496"/>
      <c r="K314" s="496">
        <v>-23746</v>
      </c>
      <c r="L314" s="496"/>
      <c r="M314" s="496">
        <v>319271.15999999997</v>
      </c>
      <c r="N314" s="496">
        <v>48974.02</v>
      </c>
      <c r="O314" s="496">
        <v>-222729.91999999995</v>
      </c>
      <c r="P314" s="1293">
        <v>11277</v>
      </c>
      <c r="Q314" s="496">
        <v>4094297.3</v>
      </c>
    </row>
    <row r="315" spans="1:17" ht="15" hidden="1">
      <c r="A315" s="505"/>
      <c r="B315" s="506">
        <f>SUM(B309:B314)</f>
        <v>101</v>
      </c>
      <c r="C315" s="506">
        <f t="shared" ref="C315" si="175">SUM(C309:C314)</f>
        <v>6847862.0599999987</v>
      </c>
      <c r="D315" s="506">
        <f t="shared" ref="D315" si="176">SUM(D309:D314)</f>
        <v>0</v>
      </c>
      <c r="E315" s="506">
        <f t="shared" ref="E315" si="177">SUM(E309:E314)</f>
        <v>28763</v>
      </c>
      <c r="F315" s="506">
        <f t="shared" ref="F315" si="178">SUM(F309:F314)</f>
        <v>17042.150000000001</v>
      </c>
      <c r="G315" s="506">
        <f t="shared" ref="G315" si="179">SUM(G309:G314)</f>
        <v>18286</v>
      </c>
      <c r="H315" s="506">
        <f t="shared" ref="H315" si="180">SUM(H309:H314)</f>
        <v>3431130</v>
      </c>
      <c r="I315" s="506">
        <f t="shared" ref="I315" si="181">SUM(I309:I314)</f>
        <v>47991647.480000012</v>
      </c>
      <c r="J315" s="506">
        <f t="shared" ref="J315" si="182">SUM(J309:J314)</f>
        <v>0</v>
      </c>
      <c r="K315" s="506">
        <f t="shared" ref="K315" si="183">SUM(K309:K314)</f>
        <v>-584621.00000000012</v>
      </c>
      <c r="L315" s="506">
        <f t="shared" ref="L315" si="184">SUM(L309:L314)</f>
        <v>0</v>
      </c>
      <c r="M315" s="506">
        <f t="shared" ref="M315" si="185">SUM(M309:M314)</f>
        <v>4061877.6599999992</v>
      </c>
      <c r="N315" s="506">
        <f t="shared" ref="N315" si="186">SUM(N309:N314)</f>
        <v>619046.7699999999</v>
      </c>
      <c r="O315" s="506">
        <f t="shared" ref="O315" si="187">SUM(O309:O314)</f>
        <v>-2197047.25</v>
      </c>
      <c r="P315" s="1294">
        <f t="shared" ref="P315" si="188">SUM(P309:P314)</f>
        <v>53742</v>
      </c>
      <c r="Q315" s="506">
        <f t="shared" ref="Q315" si="189">SUM(Q309:Q314)</f>
        <v>53375775.659999996</v>
      </c>
    </row>
    <row r="316" spans="1:17" hidden="1">
      <c r="C316" s="421">
        <f>C315/10^6</f>
        <v>6.8478620599999989</v>
      </c>
      <c r="P316" s="1250"/>
    </row>
    <row r="317" spans="1:17" hidden="1">
      <c r="A317" s="462">
        <v>42339</v>
      </c>
      <c r="P317" s="1250"/>
    </row>
    <row r="318" spans="1:17" ht="30" hidden="1">
      <c r="A318" s="476" t="s">
        <v>849</v>
      </c>
      <c r="B318" s="476" t="s">
        <v>772</v>
      </c>
      <c r="C318" s="476" t="s">
        <v>773</v>
      </c>
      <c r="D318" s="476" t="s">
        <v>828</v>
      </c>
      <c r="E318" s="476" t="s">
        <v>829</v>
      </c>
      <c r="F318" s="476" t="s">
        <v>830</v>
      </c>
      <c r="G318" s="476" t="s">
        <v>831</v>
      </c>
      <c r="H318" s="476" t="s">
        <v>832</v>
      </c>
      <c r="I318" s="476" t="s">
        <v>833</v>
      </c>
      <c r="J318" s="476" t="s">
        <v>834</v>
      </c>
      <c r="K318" s="476" t="s">
        <v>835</v>
      </c>
      <c r="L318" s="476" t="s">
        <v>836</v>
      </c>
      <c r="M318" s="476" t="s">
        <v>837</v>
      </c>
      <c r="N318" s="476" t="s">
        <v>838</v>
      </c>
      <c r="O318" s="476" t="s">
        <v>847</v>
      </c>
      <c r="P318" s="1292" t="s">
        <v>840</v>
      </c>
      <c r="Q318" s="476" t="s">
        <v>841</v>
      </c>
    </row>
    <row r="319" spans="1:17" hidden="1">
      <c r="A319" s="504" t="s">
        <v>769</v>
      </c>
      <c r="B319" s="496">
        <v>41</v>
      </c>
      <c r="C319" s="496">
        <v>6113983.6500000004</v>
      </c>
      <c r="E319" s="496">
        <v>25620</v>
      </c>
      <c r="F319" s="496">
        <v>14960.939999999999</v>
      </c>
      <c r="G319" s="496">
        <v>16369</v>
      </c>
      <c r="H319" s="496">
        <v>3110110</v>
      </c>
      <c r="I319" s="496">
        <v>42859025.390000001</v>
      </c>
      <c r="J319" s="496"/>
      <c r="K319" s="496">
        <v>-714745.62</v>
      </c>
      <c r="L319" s="496"/>
      <c r="M319" s="496">
        <v>3561296.12</v>
      </c>
      <c r="N319" s="496">
        <v>552704.14999999991</v>
      </c>
      <c r="O319" s="496">
        <v>-2352992.1999999997</v>
      </c>
      <c r="P319" s="1293">
        <v>46170</v>
      </c>
      <c r="Q319" s="496">
        <v>47061567.840000011</v>
      </c>
    </row>
    <row r="320" spans="1:17" hidden="1">
      <c r="A320" s="504" t="s">
        <v>770</v>
      </c>
      <c r="B320" s="496">
        <v>1</v>
      </c>
      <c r="C320" s="496">
        <v>4809</v>
      </c>
      <c r="D320" s="496"/>
      <c r="E320" s="496">
        <v>250</v>
      </c>
      <c r="F320" s="496">
        <v>25.7</v>
      </c>
      <c r="G320" s="496">
        <v>125</v>
      </c>
      <c r="H320" s="496">
        <v>23750</v>
      </c>
      <c r="I320" s="496">
        <v>50254.05</v>
      </c>
      <c r="J320" s="496"/>
      <c r="K320" s="496">
        <v>425.91</v>
      </c>
      <c r="L320" s="496"/>
      <c r="M320" s="496">
        <v>15630.29</v>
      </c>
      <c r="N320" s="496">
        <v>434.73</v>
      </c>
      <c r="O320" s="496">
        <v>-744.3</v>
      </c>
      <c r="P320" s="1293">
        <v>0</v>
      </c>
      <c r="Q320" s="496">
        <v>89750.68</v>
      </c>
    </row>
    <row r="321" spans="1:17" hidden="1">
      <c r="A321" s="504" t="s">
        <v>765</v>
      </c>
      <c r="B321" s="496">
        <v>10</v>
      </c>
      <c r="C321" s="496">
        <v>11631.2</v>
      </c>
      <c r="D321" s="496"/>
      <c r="E321" s="496">
        <v>0</v>
      </c>
      <c r="F321" s="496">
        <v>0</v>
      </c>
      <c r="G321" s="496">
        <v>0</v>
      </c>
      <c r="H321" s="496">
        <v>1900</v>
      </c>
      <c r="I321" s="496">
        <v>86874.06</v>
      </c>
      <c r="J321" s="496"/>
      <c r="K321" s="496">
        <v>0</v>
      </c>
      <c r="L321" s="496"/>
      <c r="M321" s="496">
        <v>17489.57</v>
      </c>
      <c r="N321" s="496">
        <v>1051.46</v>
      </c>
      <c r="O321" s="496">
        <v>0</v>
      </c>
      <c r="P321" s="1293">
        <v>0</v>
      </c>
      <c r="Q321" s="496">
        <v>107315.09000000001</v>
      </c>
    </row>
    <row r="322" spans="1:17" hidden="1">
      <c r="A322" s="504" t="s">
        <v>766</v>
      </c>
      <c r="B322" s="496">
        <v>7</v>
      </c>
      <c r="C322" s="496">
        <v>25448</v>
      </c>
      <c r="D322" s="496"/>
      <c r="E322" s="496">
        <v>215</v>
      </c>
      <c r="F322" s="496">
        <v>122.53999999999999</v>
      </c>
      <c r="G322" s="496">
        <v>110</v>
      </c>
      <c r="H322" s="496">
        <v>20900</v>
      </c>
      <c r="I322" s="496">
        <v>214781.11999999997</v>
      </c>
      <c r="J322" s="496"/>
      <c r="K322" s="496">
        <v>-2629.3500000000004</v>
      </c>
      <c r="L322" s="496"/>
      <c r="M322" s="496">
        <v>49041.780000000006</v>
      </c>
      <c r="N322" s="496">
        <v>2300.4999999999995</v>
      </c>
      <c r="O322" s="496">
        <v>-7248.89</v>
      </c>
      <c r="P322" s="1293">
        <v>480.51</v>
      </c>
      <c r="Q322" s="496">
        <v>277625.67000000004</v>
      </c>
    </row>
    <row r="323" spans="1:17" hidden="1">
      <c r="A323" s="504" t="s">
        <v>767</v>
      </c>
      <c r="B323" s="496">
        <v>15</v>
      </c>
      <c r="C323" s="496">
        <v>26051.200000000004</v>
      </c>
      <c r="D323" s="496"/>
      <c r="E323" s="496">
        <v>0</v>
      </c>
      <c r="F323" s="496">
        <v>0</v>
      </c>
      <c r="G323" s="496">
        <v>0</v>
      </c>
      <c r="H323" s="496">
        <v>2850</v>
      </c>
      <c r="I323" s="496">
        <v>131819.06000000003</v>
      </c>
      <c r="J323" s="496"/>
      <c r="K323" s="496">
        <v>0</v>
      </c>
      <c r="L323" s="496"/>
      <c r="M323" s="496">
        <v>12524.22</v>
      </c>
      <c r="N323" s="496">
        <v>2355.0099999999998</v>
      </c>
      <c r="O323" s="496">
        <v>0</v>
      </c>
      <c r="P323" s="1293">
        <v>0</v>
      </c>
      <c r="Q323" s="496">
        <v>149548.28999999998</v>
      </c>
    </row>
    <row r="324" spans="1:17" hidden="1">
      <c r="A324" s="504" t="s">
        <v>768</v>
      </c>
      <c r="B324" s="496">
        <v>27</v>
      </c>
      <c r="C324" s="496">
        <v>559746</v>
      </c>
      <c r="D324" s="496"/>
      <c r="E324" s="496">
        <v>2618</v>
      </c>
      <c r="F324" s="496">
        <v>1450.5199999999995</v>
      </c>
      <c r="G324" s="496">
        <v>1179</v>
      </c>
      <c r="H324" s="496">
        <v>176850</v>
      </c>
      <c r="I324" s="496">
        <v>3907027.08</v>
      </c>
      <c r="J324" s="496"/>
      <c r="K324" s="496">
        <v>-82110.2</v>
      </c>
      <c r="L324" s="496"/>
      <c r="M324" s="496">
        <v>323548.05</v>
      </c>
      <c r="N324" s="496">
        <v>50601.049999999988</v>
      </c>
      <c r="O324" s="496">
        <v>-212928.24000000002</v>
      </c>
      <c r="P324" s="1293">
        <v>8073</v>
      </c>
      <c r="Q324" s="496">
        <v>4171060.7400000007</v>
      </c>
    </row>
    <row r="325" spans="1:17" ht="15" hidden="1">
      <c r="A325" s="505"/>
      <c r="B325" s="506">
        <f>SUM(B319:B324)</f>
        <v>101</v>
      </c>
      <c r="C325" s="506">
        <f t="shared" ref="C325" si="190">SUM(C319:C324)</f>
        <v>6741669.0500000007</v>
      </c>
      <c r="D325" s="506">
        <f t="shared" ref="D325" si="191">SUM(D319:D324)</f>
        <v>0</v>
      </c>
      <c r="E325" s="506">
        <f t="shared" ref="E325" si="192">SUM(E319:E324)</f>
        <v>28703</v>
      </c>
      <c r="F325" s="506">
        <f t="shared" ref="F325" si="193">SUM(F319:F324)</f>
        <v>16559.7</v>
      </c>
      <c r="G325" s="506">
        <f t="shared" ref="G325" si="194">SUM(G319:G324)</f>
        <v>17783</v>
      </c>
      <c r="H325" s="506">
        <f t="shared" ref="H325" si="195">SUM(H319:H324)</f>
        <v>3336360</v>
      </c>
      <c r="I325" s="506">
        <f t="shared" ref="I325" si="196">SUM(I319:I324)</f>
        <v>47249780.759999998</v>
      </c>
      <c r="J325" s="506">
        <f t="shared" ref="J325" si="197">SUM(J319:J324)</f>
        <v>0</v>
      </c>
      <c r="K325" s="506">
        <f t="shared" ref="K325" si="198">SUM(K319:K324)</f>
        <v>-799059.25999999989</v>
      </c>
      <c r="L325" s="506">
        <f t="shared" ref="L325" si="199">SUM(L319:L324)</f>
        <v>0</v>
      </c>
      <c r="M325" s="506">
        <f t="shared" ref="M325" si="200">SUM(M319:M324)</f>
        <v>3979530.03</v>
      </c>
      <c r="N325" s="506">
        <f t="shared" ref="N325" si="201">SUM(N319:N324)</f>
        <v>609446.89999999991</v>
      </c>
      <c r="O325" s="506">
        <f t="shared" ref="O325" si="202">SUM(O319:O324)</f>
        <v>-2573913.63</v>
      </c>
      <c r="P325" s="1294">
        <f t="shared" ref="P325" si="203">SUM(P319:P324)</f>
        <v>54723.51</v>
      </c>
      <c r="Q325" s="506">
        <f t="shared" ref="Q325" si="204">SUM(Q319:Q324)</f>
        <v>51856868.310000017</v>
      </c>
    </row>
    <row r="326" spans="1:17" ht="15" hidden="1">
      <c r="A326" s="508"/>
      <c r="B326" s="509"/>
      <c r="C326" s="421">
        <f>C325/10^6</f>
        <v>6.7416690500000005</v>
      </c>
      <c r="D326" s="509"/>
      <c r="E326" s="509"/>
      <c r="F326" s="509"/>
      <c r="G326" s="509"/>
      <c r="H326" s="509"/>
      <c r="I326" s="509"/>
      <c r="J326" s="509"/>
      <c r="K326" s="509"/>
      <c r="L326" s="509"/>
      <c r="M326" s="509"/>
      <c r="N326" s="509"/>
      <c r="O326" s="509"/>
      <c r="P326" s="1295"/>
      <c r="Q326" s="509"/>
    </row>
    <row r="327" spans="1:17" hidden="1">
      <c r="A327" s="462">
        <v>42370</v>
      </c>
      <c r="P327" s="1250"/>
    </row>
    <row r="328" spans="1:17" ht="30" hidden="1">
      <c r="A328" s="476" t="s">
        <v>849</v>
      </c>
      <c r="B328" s="476" t="s">
        <v>772</v>
      </c>
      <c r="C328" s="476" t="s">
        <v>773</v>
      </c>
      <c r="D328" s="476" t="s">
        <v>828</v>
      </c>
      <c r="E328" s="476" t="s">
        <v>829</v>
      </c>
      <c r="F328" s="476" t="s">
        <v>830</v>
      </c>
      <c r="G328" s="476" t="s">
        <v>831</v>
      </c>
      <c r="H328" s="476" t="s">
        <v>832</v>
      </c>
      <c r="I328" s="476" t="s">
        <v>833</v>
      </c>
      <c r="J328" s="476" t="s">
        <v>834</v>
      </c>
      <c r="K328" s="476" t="s">
        <v>835</v>
      </c>
      <c r="L328" s="476" t="s">
        <v>836</v>
      </c>
      <c r="M328" s="476" t="s">
        <v>837</v>
      </c>
      <c r="N328" s="476" t="s">
        <v>838</v>
      </c>
      <c r="O328" s="476" t="s">
        <v>847</v>
      </c>
      <c r="P328" s="1292" t="s">
        <v>840</v>
      </c>
      <c r="Q328" s="476" t="s">
        <v>841</v>
      </c>
    </row>
    <row r="329" spans="1:17" hidden="1">
      <c r="A329" s="504" t="s">
        <v>776</v>
      </c>
      <c r="B329" s="496">
        <v>42</v>
      </c>
      <c r="C329" s="496">
        <v>5693364</v>
      </c>
      <c r="E329" s="496">
        <v>25820</v>
      </c>
      <c r="F329" s="496">
        <v>14703.680000000002</v>
      </c>
      <c r="G329" s="496">
        <v>16334</v>
      </c>
      <c r="H329" s="496">
        <v>3103460</v>
      </c>
      <c r="I329" s="496">
        <v>39910481.640000001</v>
      </c>
      <c r="J329" s="496"/>
      <c r="K329" s="496">
        <v>-481068.2</v>
      </c>
      <c r="L329" s="496">
        <v>0</v>
      </c>
      <c r="M329" s="496">
        <v>3342237.6900000009</v>
      </c>
      <c r="N329" s="496">
        <v>514680.12000000005</v>
      </c>
      <c r="O329" s="496">
        <v>-2258559.6800000002</v>
      </c>
      <c r="P329" s="1293">
        <v>54663</v>
      </c>
      <c r="Q329" s="496">
        <v>44185894.569999985</v>
      </c>
    </row>
    <row r="330" spans="1:17" hidden="1">
      <c r="A330" s="504" t="s">
        <v>850</v>
      </c>
      <c r="B330" s="496">
        <v>1</v>
      </c>
      <c r="C330" s="496">
        <v>3280</v>
      </c>
      <c r="D330" s="496"/>
      <c r="E330" s="496">
        <v>250</v>
      </c>
      <c r="F330" s="496">
        <v>24.48</v>
      </c>
      <c r="G330" s="496">
        <v>125</v>
      </c>
      <c r="H330" s="496">
        <v>23750</v>
      </c>
      <c r="I330" s="496">
        <v>34276</v>
      </c>
      <c r="J330" s="496"/>
      <c r="K330" s="496">
        <v>260</v>
      </c>
      <c r="L330" s="496">
        <v>0</v>
      </c>
      <c r="M330" s="496">
        <v>12240.06</v>
      </c>
      <c r="N330" s="496">
        <v>296.51</v>
      </c>
      <c r="O330" s="496">
        <v>0</v>
      </c>
      <c r="P330" s="1293">
        <v>0</v>
      </c>
      <c r="Q330" s="496">
        <v>70822.569999999992</v>
      </c>
    </row>
    <row r="331" spans="1:17" hidden="1">
      <c r="A331" s="504" t="s">
        <v>765</v>
      </c>
      <c r="B331" s="496">
        <v>9</v>
      </c>
      <c r="C331" s="496">
        <v>8867.2999999999993</v>
      </c>
      <c r="D331" s="496"/>
      <c r="E331" s="496">
        <v>20</v>
      </c>
      <c r="F331" s="496">
        <v>0</v>
      </c>
      <c r="G331" s="496">
        <v>0</v>
      </c>
      <c r="H331" s="496">
        <v>1710</v>
      </c>
      <c r="I331" s="496">
        <v>70588.210000000006</v>
      </c>
      <c r="J331" s="496"/>
      <c r="K331" s="496">
        <v>0</v>
      </c>
      <c r="L331" s="496">
        <v>0</v>
      </c>
      <c r="M331" s="496">
        <v>15142.74</v>
      </c>
      <c r="N331" s="496">
        <v>801.62</v>
      </c>
      <c r="O331" s="496">
        <v>0</v>
      </c>
      <c r="P331" s="1293">
        <v>0</v>
      </c>
      <c r="Q331" s="496">
        <v>88242.57</v>
      </c>
    </row>
    <row r="332" spans="1:17" hidden="1">
      <c r="A332" s="504" t="s">
        <v>766</v>
      </c>
      <c r="B332" s="496">
        <v>7</v>
      </c>
      <c r="C332" s="496">
        <v>18248.5</v>
      </c>
      <c r="D332" s="496"/>
      <c r="E332" s="496">
        <v>265</v>
      </c>
      <c r="F332" s="496">
        <v>100.77</v>
      </c>
      <c r="G332" s="496">
        <v>109</v>
      </c>
      <c r="H332" s="496">
        <v>20710</v>
      </c>
      <c r="I332" s="496">
        <v>154017.34</v>
      </c>
      <c r="J332" s="496"/>
      <c r="K332" s="496">
        <v>1776.22</v>
      </c>
      <c r="L332" s="496">
        <v>0</v>
      </c>
      <c r="M332" s="496">
        <v>37065.75</v>
      </c>
      <c r="N332" s="496">
        <v>1649.6699999999998</v>
      </c>
      <c r="O332" s="496">
        <v>-2357.73</v>
      </c>
      <c r="P332" s="1293">
        <v>0</v>
      </c>
      <c r="Q332" s="496">
        <v>212861.24999999997</v>
      </c>
    </row>
    <row r="333" spans="1:17" hidden="1">
      <c r="A333" s="504" t="s">
        <v>767</v>
      </c>
      <c r="B333" s="496">
        <v>16</v>
      </c>
      <c r="C333" s="496">
        <v>26680.999999999996</v>
      </c>
      <c r="D333" s="496"/>
      <c r="E333" s="496">
        <v>0</v>
      </c>
      <c r="F333" s="496">
        <v>0</v>
      </c>
      <c r="G333" s="496">
        <v>0</v>
      </c>
      <c r="H333" s="496">
        <v>3040</v>
      </c>
      <c r="I333" s="496">
        <v>135005.89000000001</v>
      </c>
      <c r="J333" s="496"/>
      <c r="K333" s="496">
        <v>0</v>
      </c>
      <c r="L333" s="496">
        <v>0</v>
      </c>
      <c r="M333" s="496">
        <v>12838.240000000002</v>
      </c>
      <c r="N333" s="496">
        <v>2411.9799999999996</v>
      </c>
      <c r="O333" s="496">
        <v>0</v>
      </c>
      <c r="P333" s="1293">
        <v>0</v>
      </c>
      <c r="Q333" s="496">
        <v>153296.10999999999</v>
      </c>
    </row>
    <row r="334" spans="1:17" hidden="1">
      <c r="A334" s="504" t="s">
        <v>768</v>
      </c>
      <c r="B334" s="496">
        <v>27</v>
      </c>
      <c r="C334" s="496">
        <v>543500</v>
      </c>
      <c r="D334" s="496"/>
      <c r="E334" s="496">
        <v>2618</v>
      </c>
      <c r="F334" s="496">
        <v>1457.12</v>
      </c>
      <c r="G334" s="496">
        <v>1178</v>
      </c>
      <c r="H334" s="496">
        <v>176700</v>
      </c>
      <c r="I334" s="496">
        <v>3793629.9999999995</v>
      </c>
      <c r="J334" s="496"/>
      <c r="K334" s="496">
        <v>-18526</v>
      </c>
      <c r="L334" s="496">
        <v>0</v>
      </c>
      <c r="M334" s="496">
        <v>319546.07000000007</v>
      </c>
      <c r="N334" s="496">
        <v>49132.400000000016</v>
      </c>
      <c r="O334" s="496">
        <v>-213884.54999999996</v>
      </c>
      <c r="P334" s="1293">
        <v>8199</v>
      </c>
      <c r="Q334" s="496">
        <v>4114796.9199999995</v>
      </c>
    </row>
    <row r="335" spans="1:17" ht="15" hidden="1">
      <c r="A335" s="505"/>
      <c r="B335" s="506">
        <v>102</v>
      </c>
      <c r="C335" s="507">
        <v>6293940.799999997</v>
      </c>
      <c r="D335" s="499"/>
      <c r="E335" s="506">
        <v>28973</v>
      </c>
      <c r="F335" s="507">
        <v>16286.050000000001</v>
      </c>
      <c r="G335" s="506">
        <v>17746</v>
      </c>
      <c r="H335" s="506">
        <v>3329370</v>
      </c>
      <c r="I335" s="506">
        <v>44097999.080000021</v>
      </c>
      <c r="J335" s="499"/>
      <c r="K335" s="506">
        <v>-497557.98</v>
      </c>
      <c r="L335" s="506">
        <v>0</v>
      </c>
      <c r="M335" s="506">
        <v>3739070.5500000017</v>
      </c>
      <c r="N335" s="506">
        <v>568972.30000000005</v>
      </c>
      <c r="O335" s="506">
        <v>-2474801.9600000004</v>
      </c>
      <c r="P335" s="1294">
        <v>62862</v>
      </c>
      <c r="Q335" s="506">
        <v>48825913.989999987</v>
      </c>
    </row>
    <row r="336" spans="1:17" hidden="1">
      <c r="A336" s="462">
        <v>42401</v>
      </c>
      <c r="C336" s="421">
        <f>C335/10^6</f>
        <v>6.293940799999997</v>
      </c>
      <c r="P336" s="1250"/>
    </row>
    <row r="337" spans="1:17" ht="30" hidden="1">
      <c r="A337" s="476" t="s">
        <v>771</v>
      </c>
      <c r="B337" s="476" t="s">
        <v>772</v>
      </c>
      <c r="C337" s="476" t="s">
        <v>773</v>
      </c>
      <c r="D337" s="476" t="s">
        <v>828</v>
      </c>
      <c r="E337" s="476" t="s">
        <v>829</v>
      </c>
      <c r="F337" s="476" t="s">
        <v>830</v>
      </c>
      <c r="G337" s="476" t="s">
        <v>831</v>
      </c>
      <c r="H337" s="476" t="s">
        <v>832</v>
      </c>
      <c r="I337" s="476" t="s">
        <v>833</v>
      </c>
      <c r="J337" s="476" t="s">
        <v>834</v>
      </c>
      <c r="K337" s="476" t="s">
        <v>835</v>
      </c>
      <c r="L337" s="476" t="s">
        <v>836</v>
      </c>
      <c r="M337" s="476" t="s">
        <v>837</v>
      </c>
      <c r="N337" s="476" t="s">
        <v>838</v>
      </c>
      <c r="O337" s="476" t="s">
        <v>847</v>
      </c>
      <c r="P337" s="1292" t="s">
        <v>840</v>
      </c>
      <c r="Q337" s="476" t="s">
        <v>841</v>
      </c>
    </row>
    <row r="338" spans="1:17" hidden="1">
      <c r="A338" s="504" t="s">
        <v>776</v>
      </c>
      <c r="B338" s="496">
        <v>42</v>
      </c>
      <c r="C338" s="496">
        <v>5788440.7000000002</v>
      </c>
      <c r="D338" s="496"/>
      <c r="E338" s="496">
        <v>25820</v>
      </c>
      <c r="F338" s="496">
        <v>14306.96</v>
      </c>
      <c r="G338" s="496">
        <v>16246</v>
      </c>
      <c r="H338" s="496">
        <v>3086740</v>
      </c>
      <c r="I338" s="496">
        <v>40576969.310000002</v>
      </c>
      <c r="J338" s="496"/>
      <c r="K338" s="496">
        <v>-489436.65</v>
      </c>
      <c r="L338" s="496">
        <v>0</v>
      </c>
      <c r="M338" s="496">
        <v>3395902.1</v>
      </c>
      <c r="N338" s="496">
        <v>523275.01</v>
      </c>
      <c r="O338" s="496">
        <v>-2244673.0299999998</v>
      </c>
      <c r="P338" s="1293">
        <v>41370.6</v>
      </c>
      <c r="Q338" s="496">
        <v>44890147.340000004</v>
      </c>
    </row>
    <row r="339" spans="1:17" hidden="1">
      <c r="A339" s="504" t="s">
        <v>850</v>
      </c>
      <c r="B339" s="496"/>
      <c r="C339" s="496"/>
      <c r="D339" s="496"/>
      <c r="E339" s="496"/>
      <c r="F339" s="496"/>
      <c r="G339" s="496"/>
      <c r="H339" s="496"/>
      <c r="I339" s="496"/>
      <c r="J339" s="496"/>
      <c r="K339" s="496"/>
      <c r="L339" s="496">
        <v>0</v>
      </c>
      <c r="M339" s="496"/>
      <c r="N339" s="496"/>
      <c r="O339" s="496"/>
      <c r="P339" s="1293"/>
      <c r="Q339" s="496"/>
    </row>
    <row r="340" spans="1:17" hidden="1">
      <c r="A340" s="504" t="s">
        <v>765</v>
      </c>
      <c r="B340" s="496">
        <v>8</v>
      </c>
      <c r="C340" s="496">
        <v>8114.4000000000005</v>
      </c>
      <c r="D340" s="496"/>
      <c r="E340" s="496">
        <v>20</v>
      </c>
      <c r="F340" s="496">
        <v>0</v>
      </c>
      <c r="G340" s="496">
        <v>0</v>
      </c>
      <c r="H340" s="496">
        <v>1520</v>
      </c>
      <c r="I340" s="496">
        <v>64316</v>
      </c>
      <c r="J340" s="496"/>
      <c r="K340" s="496">
        <v>0</v>
      </c>
      <c r="L340" s="496">
        <v>0</v>
      </c>
      <c r="M340" s="496">
        <v>13825.56</v>
      </c>
      <c r="N340" s="496">
        <v>733.53</v>
      </c>
      <c r="O340" s="496">
        <v>0</v>
      </c>
      <c r="P340" s="1293">
        <v>0</v>
      </c>
      <c r="Q340" s="496">
        <v>80395.09</v>
      </c>
    </row>
    <row r="341" spans="1:17" hidden="1">
      <c r="A341" s="504" t="s">
        <v>766</v>
      </c>
      <c r="B341" s="496">
        <v>8</v>
      </c>
      <c r="C341" s="496">
        <v>23821.599999999999</v>
      </c>
      <c r="D341" s="496"/>
      <c r="E341" s="496">
        <v>295</v>
      </c>
      <c r="F341" s="496">
        <v>175.16</v>
      </c>
      <c r="G341" s="496">
        <v>153</v>
      </c>
      <c r="H341" s="496">
        <v>29070</v>
      </c>
      <c r="I341" s="496">
        <v>201054.3</v>
      </c>
      <c r="J341" s="496"/>
      <c r="K341" s="496">
        <v>-1435.69</v>
      </c>
      <c r="L341" s="496">
        <v>0</v>
      </c>
      <c r="M341" s="496">
        <v>50100.21</v>
      </c>
      <c r="N341" s="496">
        <v>2153.46</v>
      </c>
      <c r="O341" s="496">
        <v>-6269.06</v>
      </c>
      <c r="P341" s="1293">
        <v>9883.7999999999993</v>
      </c>
      <c r="Q341" s="496">
        <v>284557.02</v>
      </c>
    </row>
    <row r="342" spans="1:17" hidden="1">
      <c r="A342" s="504" t="s">
        <v>767</v>
      </c>
      <c r="B342" s="496">
        <v>16</v>
      </c>
      <c r="C342" s="496">
        <v>25254.400000000001</v>
      </c>
      <c r="D342" s="496"/>
      <c r="E342" s="496">
        <v>0</v>
      </c>
      <c r="F342" s="496">
        <v>0</v>
      </c>
      <c r="G342" s="496">
        <v>0</v>
      </c>
      <c r="H342" s="496">
        <v>3040</v>
      </c>
      <c r="I342" s="496">
        <v>127787.25</v>
      </c>
      <c r="J342" s="496"/>
      <c r="K342" s="496">
        <v>0</v>
      </c>
      <c r="L342" s="496">
        <v>0</v>
      </c>
      <c r="M342" s="496">
        <v>12166.93</v>
      </c>
      <c r="N342" s="496">
        <v>2283.0100000000002</v>
      </c>
      <c r="O342" s="496">
        <v>0</v>
      </c>
      <c r="P342" s="1293">
        <v>0</v>
      </c>
      <c r="Q342" s="496">
        <v>145277.19</v>
      </c>
    </row>
    <row r="343" spans="1:17" hidden="1">
      <c r="A343" s="504" t="s">
        <v>768</v>
      </c>
      <c r="B343" s="496">
        <v>30</v>
      </c>
      <c r="C343" s="496">
        <v>549622</v>
      </c>
      <c r="D343" s="496"/>
      <c r="E343" s="496">
        <v>2782</v>
      </c>
      <c r="F343" s="496">
        <v>1546.3300000000002</v>
      </c>
      <c r="G343" s="496">
        <v>1252</v>
      </c>
      <c r="H343" s="496">
        <v>187800</v>
      </c>
      <c r="I343" s="496">
        <v>3836361.56</v>
      </c>
      <c r="J343" s="496"/>
      <c r="K343" s="496">
        <v>-51064.9</v>
      </c>
      <c r="L343" s="496">
        <v>0</v>
      </c>
      <c r="M343" s="496">
        <v>321051.58999999997</v>
      </c>
      <c r="N343" s="496">
        <v>49685.83</v>
      </c>
      <c r="O343" s="496">
        <v>-226266.87</v>
      </c>
      <c r="P343" s="1293">
        <v>6138</v>
      </c>
      <c r="Q343" s="496">
        <v>4123705.21</v>
      </c>
    </row>
    <row r="344" spans="1:17" ht="15" hidden="1">
      <c r="A344" s="505"/>
      <c r="B344" s="506">
        <v>104</v>
      </c>
      <c r="C344" s="506">
        <v>6395253.1000000006</v>
      </c>
      <c r="D344" s="499"/>
      <c r="E344" s="506">
        <f>SUM(E338:E343)</f>
        <v>28917</v>
      </c>
      <c r="F344" s="506">
        <f>SUM(F338:F343)</f>
        <v>16028.449999999999</v>
      </c>
      <c r="G344" s="506">
        <f>SUM(G338:G343)</f>
        <v>17651</v>
      </c>
      <c r="H344" s="506">
        <f>SUM(H338:H343)</f>
        <v>3308170</v>
      </c>
      <c r="I344" s="506">
        <f>SUM(I338:I343)</f>
        <v>44806488.420000002</v>
      </c>
      <c r="J344" s="499"/>
      <c r="K344" s="506">
        <f>SUM(K338:K343)</f>
        <v>-541937.24</v>
      </c>
      <c r="L344" s="506">
        <v>0</v>
      </c>
      <c r="M344" s="506">
        <f>SUM(M338:M343)</f>
        <v>3793046.39</v>
      </c>
      <c r="N344" s="506">
        <f>SUM(N338:N343)</f>
        <v>578130.84</v>
      </c>
      <c r="O344" s="506">
        <f>SUM(O338:O343)</f>
        <v>-2477208.96</v>
      </c>
      <c r="P344" s="1294">
        <f>SUM(P338:P343)</f>
        <v>57392.399999999994</v>
      </c>
      <c r="Q344" s="506">
        <f>SUM(Q338:Q343)</f>
        <v>49524081.850000009</v>
      </c>
    </row>
    <row r="345" spans="1:17" hidden="1">
      <c r="C345" s="421">
        <f>C344/10^6</f>
        <v>6.3952531000000006</v>
      </c>
      <c r="P345" s="1250"/>
    </row>
    <row r="346" spans="1:17" hidden="1">
      <c r="A346" s="462">
        <v>42430</v>
      </c>
      <c r="P346" s="1250"/>
    </row>
    <row r="347" spans="1:17" ht="30" hidden="1">
      <c r="A347" s="476" t="s">
        <v>771</v>
      </c>
      <c r="B347" s="476" t="s">
        <v>772</v>
      </c>
      <c r="C347" s="476" t="s">
        <v>773</v>
      </c>
      <c r="D347" s="476" t="s">
        <v>828</v>
      </c>
      <c r="E347" s="476" t="s">
        <v>829</v>
      </c>
      <c r="F347" s="476" t="s">
        <v>830</v>
      </c>
      <c r="G347" s="476" t="s">
        <v>831</v>
      </c>
      <c r="H347" s="476" t="s">
        <v>832</v>
      </c>
      <c r="I347" s="476" t="s">
        <v>833</v>
      </c>
      <c r="J347" s="476" t="s">
        <v>834</v>
      </c>
      <c r="K347" s="476" t="s">
        <v>835</v>
      </c>
      <c r="L347" s="476" t="s">
        <v>836</v>
      </c>
      <c r="M347" s="476" t="s">
        <v>837</v>
      </c>
      <c r="N347" s="476" t="s">
        <v>838</v>
      </c>
      <c r="O347" s="476" t="s">
        <v>847</v>
      </c>
      <c r="P347" s="1292" t="s">
        <v>840</v>
      </c>
      <c r="Q347" s="476" t="s">
        <v>841</v>
      </c>
    </row>
    <row r="348" spans="1:17" hidden="1">
      <c r="A348" s="504" t="s">
        <v>776</v>
      </c>
      <c r="B348" s="496">
        <v>43</v>
      </c>
      <c r="C348" s="496">
        <v>6558215</v>
      </c>
      <c r="D348" s="496"/>
      <c r="E348" s="496">
        <v>25980</v>
      </c>
      <c r="F348" s="496">
        <v>16014.779999999997</v>
      </c>
      <c r="G348" s="496">
        <v>17388</v>
      </c>
      <c r="H348" s="497">
        <v>3303720</v>
      </c>
      <c r="I348" s="497">
        <v>45973087.149999999</v>
      </c>
      <c r="J348" s="496"/>
      <c r="K348" s="497">
        <v>-538407.4</v>
      </c>
      <c r="L348" s="496">
        <v>0</v>
      </c>
      <c r="M348" s="497">
        <v>3841437.4400000004</v>
      </c>
      <c r="N348" s="497">
        <v>592862.63</v>
      </c>
      <c r="O348" s="497">
        <v>-2263618.7900000005</v>
      </c>
      <c r="P348" s="1293">
        <v>42875.4</v>
      </c>
      <c r="Q348" s="497">
        <v>50951956.430000007</v>
      </c>
    </row>
    <row r="349" spans="1:17" hidden="1">
      <c r="A349" s="504" t="s">
        <v>850</v>
      </c>
      <c r="B349" s="496"/>
      <c r="C349" s="496"/>
      <c r="D349" s="496"/>
      <c r="E349" s="496"/>
      <c r="F349" s="496"/>
      <c r="G349" s="496"/>
      <c r="H349" s="497"/>
      <c r="I349" s="497"/>
      <c r="J349" s="496"/>
      <c r="K349" s="497"/>
      <c r="L349" s="496">
        <v>0</v>
      </c>
      <c r="M349" s="497"/>
      <c r="N349" s="497"/>
      <c r="O349" s="497"/>
      <c r="P349" s="1293"/>
      <c r="Q349" s="497"/>
    </row>
    <row r="350" spans="1:17" hidden="1">
      <c r="A350" s="504" t="s">
        <v>765</v>
      </c>
      <c r="B350" s="496">
        <v>8</v>
      </c>
      <c r="C350" s="496">
        <v>9972.0999999999985</v>
      </c>
      <c r="D350" s="496"/>
      <c r="E350" s="496">
        <v>15</v>
      </c>
      <c r="F350" s="496">
        <v>0</v>
      </c>
      <c r="G350" s="496">
        <v>0</v>
      </c>
      <c r="H350" s="497">
        <v>1520</v>
      </c>
      <c r="I350" s="497">
        <v>79836.47</v>
      </c>
      <c r="J350" s="496"/>
      <c r="K350" s="497">
        <v>0</v>
      </c>
      <c r="L350" s="496">
        <v>0</v>
      </c>
      <c r="M350" s="497">
        <v>17084.849999999999</v>
      </c>
      <c r="N350" s="497">
        <v>901.48000000000013</v>
      </c>
      <c r="O350" s="497">
        <v>0</v>
      </c>
      <c r="P350" s="1293">
        <v>0</v>
      </c>
      <c r="Q350" s="497">
        <v>99342.8</v>
      </c>
    </row>
    <row r="351" spans="1:17" hidden="1">
      <c r="A351" s="504" t="s">
        <v>766</v>
      </c>
      <c r="B351" s="496">
        <v>8</v>
      </c>
      <c r="C351" s="496">
        <v>30801.4</v>
      </c>
      <c r="D351" s="496"/>
      <c r="E351" s="496">
        <v>315</v>
      </c>
      <c r="F351" s="496">
        <v>135.19</v>
      </c>
      <c r="G351" s="496">
        <v>135</v>
      </c>
      <c r="H351" s="497">
        <v>25650</v>
      </c>
      <c r="I351" s="497">
        <v>259963.82000000004</v>
      </c>
      <c r="J351" s="496"/>
      <c r="K351" s="497">
        <v>-994.90999999999985</v>
      </c>
      <c r="L351" s="496">
        <v>0</v>
      </c>
      <c r="M351" s="497">
        <v>59779.530000000013</v>
      </c>
      <c r="N351" s="497">
        <v>2784.4399999999996</v>
      </c>
      <c r="O351" s="497">
        <v>-475.7</v>
      </c>
      <c r="P351" s="1293">
        <v>45.6</v>
      </c>
      <c r="Q351" s="497">
        <v>346752.78</v>
      </c>
    </row>
    <row r="352" spans="1:17" hidden="1">
      <c r="A352" s="504" t="s">
        <v>774</v>
      </c>
      <c r="B352" s="496">
        <v>17</v>
      </c>
      <c r="C352" s="496">
        <v>29755.5</v>
      </c>
      <c r="D352" s="496"/>
      <c r="E352" s="496">
        <v>0</v>
      </c>
      <c r="F352" s="496">
        <v>0</v>
      </c>
      <c r="G352" s="496">
        <v>0</v>
      </c>
      <c r="H352" s="497">
        <v>3230</v>
      </c>
      <c r="I352" s="497">
        <v>150562.84000000003</v>
      </c>
      <c r="J352" s="496"/>
      <c r="K352" s="497">
        <v>0</v>
      </c>
      <c r="L352" s="496">
        <v>0</v>
      </c>
      <c r="M352" s="497">
        <v>14302.72</v>
      </c>
      <c r="N352" s="497">
        <v>2689.91</v>
      </c>
      <c r="O352" s="497">
        <v>0</v>
      </c>
      <c r="P352" s="1293">
        <v>0</v>
      </c>
      <c r="Q352" s="497">
        <v>170785.47000000006</v>
      </c>
    </row>
    <row r="353" spans="1:19" hidden="1">
      <c r="A353" s="504" t="s">
        <v>775</v>
      </c>
      <c r="B353" s="496">
        <v>29</v>
      </c>
      <c r="C353" s="496">
        <v>612518</v>
      </c>
      <c r="D353" s="496"/>
      <c r="E353" s="496">
        <v>2732</v>
      </c>
      <c r="F353" s="496">
        <v>1620.1299999999997</v>
      </c>
      <c r="G353" s="496">
        <v>1252</v>
      </c>
      <c r="H353" s="497">
        <v>187800</v>
      </c>
      <c r="I353" s="497">
        <v>4275375.6399999987</v>
      </c>
      <c r="J353" s="496"/>
      <c r="K353" s="497">
        <v>-59358.700000000012</v>
      </c>
      <c r="L353" s="496">
        <v>0</v>
      </c>
      <c r="M353" s="497">
        <v>334962.40000000002</v>
      </c>
      <c r="N353" s="497">
        <v>55371.63</v>
      </c>
      <c r="O353" s="497">
        <v>-249926.15</v>
      </c>
      <c r="P353" s="1293">
        <v>6948</v>
      </c>
      <c r="Q353" s="497">
        <v>4551172.8199999994</v>
      </c>
    </row>
    <row r="354" spans="1:19" ht="15" hidden="1">
      <c r="A354" s="505"/>
      <c r="B354" s="506">
        <v>105</v>
      </c>
      <c r="C354" s="506">
        <v>7241262</v>
      </c>
      <c r="D354" s="499"/>
      <c r="E354" s="506">
        <v>29042</v>
      </c>
      <c r="F354" s="506">
        <v>17770.099999999991</v>
      </c>
      <c r="G354" s="506">
        <v>18775</v>
      </c>
      <c r="H354" s="507">
        <v>3521920</v>
      </c>
      <c r="I354" s="507">
        <v>50738825.920000017</v>
      </c>
      <c r="J354" s="499"/>
      <c r="K354" s="507">
        <v>-598761.01000000013</v>
      </c>
      <c r="L354" s="506">
        <v>0</v>
      </c>
      <c r="M354" s="507">
        <v>4267566.9399999995</v>
      </c>
      <c r="N354" s="507">
        <v>654610.08999999985</v>
      </c>
      <c r="O354" s="507">
        <v>-2514020.6400000006</v>
      </c>
      <c r="P354" s="1294">
        <v>49869</v>
      </c>
      <c r="Q354" s="507">
        <v>56120010.300000034</v>
      </c>
    </row>
    <row r="355" spans="1:19" hidden="1">
      <c r="C355" s="421">
        <f>C354/10^6</f>
        <v>7.2412619999999999</v>
      </c>
      <c r="P355" s="1250"/>
    </row>
    <row r="356" spans="1:19">
      <c r="L356" s="991"/>
      <c r="M356" s="1004"/>
      <c r="N356" s="1004">
        <f>+N236-M236</f>
        <v>4.3590529913599951</v>
      </c>
      <c r="P356" s="1250">
        <f>P236-P234</f>
        <v>4785.460000038147</v>
      </c>
    </row>
    <row r="357" spans="1:19">
      <c r="L357" s="1004"/>
      <c r="N357" s="1004">
        <f>+N356-L233</f>
        <v>0.36913034235999564</v>
      </c>
      <c r="P357" s="553"/>
    </row>
    <row r="358" spans="1:19">
      <c r="P358" s="553"/>
    </row>
    <row r="359" spans="1:19">
      <c r="P359" s="553"/>
    </row>
    <row r="360" spans="1:19" ht="15">
      <c r="A360" s="461" t="s">
        <v>804</v>
      </c>
      <c r="B360" s="460"/>
    </row>
    <row r="361" spans="1:19" s="491" customFormat="1" ht="60">
      <c r="A361" s="489" t="s">
        <v>771</v>
      </c>
      <c r="B361" s="489" t="s">
        <v>772</v>
      </c>
      <c r="C361" s="490" t="s">
        <v>773</v>
      </c>
      <c r="D361" s="490" t="s">
        <v>828</v>
      </c>
      <c r="E361" s="490" t="s">
        <v>829</v>
      </c>
      <c r="F361" s="490" t="s">
        <v>830</v>
      </c>
      <c r="G361" s="490" t="s">
        <v>831</v>
      </c>
      <c r="H361" s="554" t="s">
        <v>832</v>
      </c>
      <c r="I361" s="490" t="s">
        <v>833</v>
      </c>
      <c r="J361" s="490" t="s">
        <v>834</v>
      </c>
      <c r="K361" s="490" t="s">
        <v>835</v>
      </c>
      <c r="L361" s="490" t="s">
        <v>836</v>
      </c>
      <c r="M361" s="490" t="s">
        <v>837</v>
      </c>
      <c r="N361" s="490" t="s">
        <v>838</v>
      </c>
      <c r="O361" s="490" t="s">
        <v>839</v>
      </c>
      <c r="P361" s="490" t="s">
        <v>840</v>
      </c>
      <c r="Q361" s="490" t="s">
        <v>841</v>
      </c>
      <c r="R361" s="554" t="s">
        <v>1110</v>
      </c>
    </row>
    <row r="362" spans="1:19">
      <c r="A362" s="504" t="s">
        <v>776</v>
      </c>
      <c r="B362" s="479">
        <f>B348</f>
        <v>43</v>
      </c>
      <c r="C362" s="480">
        <f t="shared" ref="C362:Q362" si="205">C348+C338+C329+C319+C309+C289+C299+C279+C269+C259+C249+C239</f>
        <v>74911516.890000001</v>
      </c>
      <c r="D362" s="480">
        <f t="shared" si="205"/>
        <v>0</v>
      </c>
      <c r="E362" s="480">
        <f t="shared" si="205"/>
        <v>255850</v>
      </c>
      <c r="F362" s="480">
        <f t="shared" si="205"/>
        <v>171605.91999999998</v>
      </c>
      <c r="G362" s="480">
        <f t="shared" si="205"/>
        <v>207126</v>
      </c>
      <c r="H362" s="557">
        <f t="shared" si="205"/>
        <v>39354130</v>
      </c>
      <c r="I362" s="480">
        <f t="shared" si="205"/>
        <v>524533096.39000005</v>
      </c>
      <c r="J362" s="480">
        <f t="shared" si="205"/>
        <v>0</v>
      </c>
      <c r="K362" s="480">
        <f t="shared" si="205"/>
        <v>-9761049.2800000012</v>
      </c>
      <c r="L362" s="480">
        <f t="shared" si="205"/>
        <v>0</v>
      </c>
      <c r="M362" s="480">
        <f t="shared" si="205"/>
        <v>44245045.550000004</v>
      </c>
      <c r="N362" s="480">
        <f t="shared" si="205"/>
        <v>6302291.9900000012</v>
      </c>
      <c r="O362" s="480">
        <f t="shared" si="205"/>
        <v>-22628233.899999999</v>
      </c>
      <c r="P362" s="480">
        <f t="shared" si="205"/>
        <v>1092519</v>
      </c>
      <c r="Q362" s="480">
        <f t="shared" si="205"/>
        <v>583137799.74999988</v>
      </c>
      <c r="R362" s="555">
        <f>I362+K362+O362+P362</f>
        <v>493236332.21000004</v>
      </c>
      <c r="S362" s="553">
        <f>R362+H362</f>
        <v>532590462.21000004</v>
      </c>
    </row>
    <row r="363" spans="1:19">
      <c r="A363" s="504" t="s">
        <v>850</v>
      </c>
      <c r="B363" s="479">
        <f>B349</f>
        <v>0</v>
      </c>
      <c r="C363" s="480">
        <f t="shared" ref="C363:Q363" si="206">C349+C339+C330+C320+C310+C290+C300+C280+C270+C260+C250+C240</f>
        <v>106156.20000000001</v>
      </c>
      <c r="D363" s="480">
        <f t="shared" si="206"/>
        <v>0</v>
      </c>
      <c r="E363" s="480">
        <f t="shared" si="206"/>
        <v>2000</v>
      </c>
      <c r="F363" s="480">
        <f t="shared" si="206"/>
        <v>415.06</v>
      </c>
      <c r="G363" s="480">
        <f t="shared" si="206"/>
        <v>2645</v>
      </c>
      <c r="H363" s="557">
        <f t="shared" si="206"/>
        <v>502550</v>
      </c>
      <c r="I363" s="480">
        <f t="shared" si="206"/>
        <v>1109332.29</v>
      </c>
      <c r="J363" s="480">
        <f t="shared" si="206"/>
        <v>0</v>
      </c>
      <c r="K363" s="480">
        <f t="shared" si="206"/>
        <v>-17957.669999999998</v>
      </c>
      <c r="L363" s="480">
        <f t="shared" si="206"/>
        <v>0</v>
      </c>
      <c r="M363" s="480">
        <f t="shared" si="206"/>
        <v>334724.17</v>
      </c>
      <c r="N363" s="480">
        <f t="shared" si="206"/>
        <v>8630.41</v>
      </c>
      <c r="O363" s="480">
        <f t="shared" si="206"/>
        <v>152646.65</v>
      </c>
      <c r="P363" s="480">
        <f t="shared" si="206"/>
        <v>0</v>
      </c>
      <c r="Q363" s="480">
        <f t="shared" si="206"/>
        <v>2089925.85</v>
      </c>
      <c r="R363" s="555">
        <f t="shared" ref="R363:R370" si="207">I363+K363+O363+P363</f>
        <v>1244021.27</v>
      </c>
      <c r="S363" s="553">
        <f t="shared" ref="S363:S370" si="208">R363+H363</f>
        <v>1746571.27</v>
      </c>
    </row>
    <row r="364" spans="1:19">
      <c r="A364" s="504"/>
      <c r="B364" s="479"/>
      <c r="C364" s="480"/>
      <c r="D364" s="480"/>
      <c r="E364" s="480"/>
      <c r="F364" s="480"/>
      <c r="G364" s="480"/>
      <c r="H364" s="557"/>
      <c r="I364" s="480"/>
      <c r="J364" s="480"/>
      <c r="K364" s="480"/>
      <c r="L364" s="480"/>
      <c r="M364" s="480"/>
      <c r="N364" s="480"/>
      <c r="O364" s="480"/>
      <c r="P364" s="480"/>
      <c r="Q364" s="480"/>
      <c r="R364" s="555">
        <f t="shared" si="207"/>
        <v>0</v>
      </c>
      <c r="S364" s="553">
        <f t="shared" si="208"/>
        <v>0</v>
      </c>
    </row>
    <row r="365" spans="1:19">
      <c r="A365" s="504"/>
      <c r="B365" s="479"/>
      <c r="C365" s="480"/>
      <c r="D365" s="480"/>
      <c r="E365" s="480"/>
      <c r="F365" s="480"/>
      <c r="G365" s="480"/>
      <c r="H365" s="557"/>
      <c r="I365" s="480"/>
      <c r="J365" s="480"/>
      <c r="K365" s="480"/>
      <c r="L365" s="480"/>
      <c r="M365" s="480"/>
      <c r="N365" s="480"/>
      <c r="O365" s="480"/>
      <c r="P365" s="480"/>
      <c r="Q365" s="480"/>
      <c r="R365" s="555">
        <f t="shared" si="207"/>
        <v>0</v>
      </c>
      <c r="S365" s="553">
        <f t="shared" si="208"/>
        <v>0</v>
      </c>
    </row>
    <row r="366" spans="1:19">
      <c r="A366" s="504" t="s">
        <v>765</v>
      </c>
      <c r="B366" s="479">
        <f>B350</f>
        <v>8</v>
      </c>
      <c r="C366" s="480">
        <f t="shared" ref="C366:Q366" si="209">C350+C340+C331+C321+C311+C291+C301+C281+C271+C261+C251+C241</f>
        <v>112121.4</v>
      </c>
      <c r="D366" s="480">
        <f t="shared" si="209"/>
        <v>0</v>
      </c>
      <c r="E366" s="480">
        <f t="shared" si="209"/>
        <v>256</v>
      </c>
      <c r="F366" s="480">
        <f t="shared" si="209"/>
        <v>7</v>
      </c>
      <c r="G366" s="480">
        <f t="shared" si="209"/>
        <v>0</v>
      </c>
      <c r="H366" s="557">
        <f t="shared" si="209"/>
        <v>19380</v>
      </c>
      <c r="I366" s="480">
        <f t="shared" si="209"/>
        <v>882223.4</v>
      </c>
      <c r="J366" s="480">
        <f t="shared" si="209"/>
        <v>0</v>
      </c>
      <c r="K366" s="480">
        <f t="shared" si="209"/>
        <v>0</v>
      </c>
      <c r="L366" s="480">
        <f t="shared" si="209"/>
        <v>0</v>
      </c>
      <c r="M366" s="480">
        <f t="shared" si="209"/>
        <v>187310.53999999998</v>
      </c>
      <c r="N366" s="480">
        <f t="shared" si="209"/>
        <v>9470.0800000000017</v>
      </c>
      <c r="O366" s="480">
        <f t="shared" si="209"/>
        <v>0</v>
      </c>
      <c r="P366" s="480">
        <f t="shared" si="209"/>
        <v>0</v>
      </c>
      <c r="Q366" s="480">
        <f t="shared" si="209"/>
        <v>1098384.02</v>
      </c>
      <c r="R366" s="555">
        <f t="shared" si="207"/>
        <v>882223.4</v>
      </c>
      <c r="S366" s="553">
        <f t="shared" si="208"/>
        <v>901603.4</v>
      </c>
    </row>
    <row r="367" spans="1:19">
      <c r="A367" s="504" t="s">
        <v>766</v>
      </c>
      <c r="B367" s="479">
        <f>B351</f>
        <v>8</v>
      </c>
      <c r="C367" s="480">
        <f t="shared" ref="C367:Q367" si="210">C351+C341+C332+C322+C312+C292+C302+C282+C272+C262+C252+C242</f>
        <v>296573</v>
      </c>
      <c r="D367" s="480">
        <f t="shared" si="210"/>
        <v>0</v>
      </c>
      <c r="E367" s="480">
        <f t="shared" si="210"/>
        <v>2580</v>
      </c>
      <c r="F367" s="480">
        <f t="shared" si="210"/>
        <v>1346.4799999999998</v>
      </c>
      <c r="G367" s="480">
        <f t="shared" si="210"/>
        <v>1324</v>
      </c>
      <c r="H367" s="557">
        <f t="shared" si="210"/>
        <v>249960</v>
      </c>
      <c r="I367" s="480">
        <f t="shared" si="210"/>
        <v>2492783.1199999996</v>
      </c>
      <c r="J367" s="480">
        <f t="shared" si="210"/>
        <v>0</v>
      </c>
      <c r="K367" s="480">
        <f t="shared" si="210"/>
        <v>-12401.6</v>
      </c>
      <c r="L367" s="480">
        <f t="shared" si="210"/>
        <v>0</v>
      </c>
      <c r="M367" s="480">
        <f t="shared" si="210"/>
        <v>572575</v>
      </c>
      <c r="N367" s="480">
        <f t="shared" si="210"/>
        <v>24980.739999999998</v>
      </c>
      <c r="O367" s="480">
        <f t="shared" si="210"/>
        <v>3646.6299999999978</v>
      </c>
      <c r="P367" s="480">
        <f t="shared" si="210"/>
        <v>27498.510000000002</v>
      </c>
      <c r="Q367" s="480">
        <f t="shared" si="210"/>
        <v>3359042.4000000004</v>
      </c>
      <c r="R367" s="555">
        <f t="shared" si="207"/>
        <v>2511526.6599999992</v>
      </c>
      <c r="S367" s="553">
        <f t="shared" si="208"/>
        <v>2761486.6599999992</v>
      </c>
    </row>
    <row r="368" spans="1:19">
      <c r="A368" s="504"/>
      <c r="B368" s="479"/>
      <c r="C368" s="480"/>
      <c r="D368" s="480"/>
      <c r="E368" s="480"/>
      <c r="F368" s="480"/>
      <c r="G368" s="480"/>
      <c r="H368" s="557"/>
      <c r="I368" s="480"/>
      <c r="J368" s="480"/>
      <c r="K368" s="480"/>
      <c r="L368" s="480"/>
      <c r="M368" s="480"/>
      <c r="N368" s="480"/>
      <c r="O368" s="480"/>
      <c r="P368" s="480"/>
      <c r="Q368" s="480"/>
      <c r="R368" s="555">
        <f t="shared" si="207"/>
        <v>0</v>
      </c>
      <c r="S368" s="553">
        <f t="shared" si="208"/>
        <v>0</v>
      </c>
    </row>
    <row r="369" spans="1:19">
      <c r="A369" s="504" t="s">
        <v>774</v>
      </c>
      <c r="B369" s="479">
        <f>B352</f>
        <v>17</v>
      </c>
      <c r="C369" s="480">
        <f t="shared" ref="C369:Q369" si="211">C352+C342+C333+C323+C313+C293+C303+C283+C273+C263+C253+C243</f>
        <v>289498.09999999998</v>
      </c>
      <c r="D369" s="480">
        <f t="shared" si="211"/>
        <v>0</v>
      </c>
      <c r="E369" s="480">
        <f t="shared" si="211"/>
        <v>140</v>
      </c>
      <c r="F369" s="480">
        <f t="shared" si="211"/>
        <v>15</v>
      </c>
      <c r="G369" s="480">
        <f t="shared" si="211"/>
        <v>0</v>
      </c>
      <c r="H369" s="557">
        <f t="shared" si="211"/>
        <v>34770</v>
      </c>
      <c r="I369" s="480">
        <f t="shared" si="211"/>
        <v>1464860.46</v>
      </c>
      <c r="J369" s="480">
        <f t="shared" si="211"/>
        <v>0</v>
      </c>
      <c r="K369" s="480">
        <f t="shared" si="211"/>
        <v>0</v>
      </c>
      <c r="L369" s="480">
        <f t="shared" si="211"/>
        <v>0</v>
      </c>
      <c r="M369" s="480">
        <f t="shared" si="211"/>
        <v>139465.59999999998</v>
      </c>
      <c r="N369" s="480">
        <f t="shared" si="211"/>
        <v>24545.03</v>
      </c>
      <c r="O369" s="480">
        <f t="shared" si="211"/>
        <v>0</v>
      </c>
      <c r="P369" s="480">
        <f t="shared" si="211"/>
        <v>0</v>
      </c>
      <c r="Q369" s="480">
        <f t="shared" si="211"/>
        <v>1663641.09</v>
      </c>
      <c r="R369" s="555">
        <f t="shared" si="207"/>
        <v>1464860.46</v>
      </c>
      <c r="S369" s="553">
        <f t="shared" si="208"/>
        <v>1499630.46</v>
      </c>
    </row>
    <row r="370" spans="1:19">
      <c r="A370" s="504" t="s">
        <v>775</v>
      </c>
      <c r="B370" s="479">
        <f>B353</f>
        <v>29</v>
      </c>
      <c r="C370" s="480">
        <f t="shared" ref="C370:Q370" si="212">C353+C343+C334+C324+C314+C294+C304+C284+C274+C264+C254+C244</f>
        <v>6157199.3700000001</v>
      </c>
      <c r="D370" s="480">
        <f t="shared" si="212"/>
        <v>0</v>
      </c>
      <c r="E370" s="480">
        <f t="shared" si="212"/>
        <v>25244</v>
      </c>
      <c r="F370" s="480">
        <f t="shared" si="212"/>
        <v>16019.059999999998</v>
      </c>
      <c r="G370" s="480">
        <f t="shared" si="212"/>
        <v>13761</v>
      </c>
      <c r="H370" s="557">
        <f t="shared" si="212"/>
        <v>2027010</v>
      </c>
      <c r="I370" s="480">
        <f t="shared" si="212"/>
        <v>43002300.82</v>
      </c>
      <c r="J370" s="480">
        <f t="shared" si="212"/>
        <v>0</v>
      </c>
      <c r="K370" s="480">
        <f t="shared" si="212"/>
        <v>-748880.04000000015</v>
      </c>
      <c r="L370" s="480">
        <f t="shared" si="212"/>
        <v>0</v>
      </c>
      <c r="M370" s="480">
        <f t="shared" si="212"/>
        <v>3658808.23</v>
      </c>
      <c r="N370" s="480">
        <f t="shared" si="212"/>
        <v>521770.16000000003</v>
      </c>
      <c r="O370" s="480">
        <f t="shared" si="212"/>
        <v>-2191731.0299999998</v>
      </c>
      <c r="P370" s="480">
        <f t="shared" si="212"/>
        <v>122514.6</v>
      </c>
      <c r="Q370" s="480">
        <f t="shared" si="212"/>
        <v>46391792.74000001</v>
      </c>
      <c r="R370" s="555">
        <f t="shared" si="207"/>
        <v>40184204.350000001</v>
      </c>
      <c r="S370" s="553">
        <f t="shared" si="208"/>
        <v>42211214.350000001</v>
      </c>
    </row>
    <row r="371" spans="1:19" s="491" customFormat="1" ht="15">
      <c r="A371" s="492"/>
      <c r="B371" s="549">
        <f t="shared" ref="B371:G371" si="213">SUM(B362:B370)</f>
        <v>105</v>
      </c>
      <c r="C371" s="493">
        <f t="shared" si="213"/>
        <v>81873064.960000008</v>
      </c>
      <c r="D371" s="493">
        <f t="shared" si="213"/>
        <v>0</v>
      </c>
      <c r="E371" s="493">
        <f t="shared" si="213"/>
        <v>286070</v>
      </c>
      <c r="F371" s="493">
        <f t="shared" si="213"/>
        <v>189408.52</v>
      </c>
      <c r="G371" s="493">
        <f t="shared" si="213"/>
        <v>224856</v>
      </c>
      <c r="H371" s="556">
        <f>SUM(H362:H370)</f>
        <v>42187800</v>
      </c>
      <c r="I371" s="493">
        <f t="shared" ref="I371" si="214">SUM(I362:I370)</f>
        <v>573484596.48000002</v>
      </c>
      <c r="J371" s="493">
        <f t="shared" ref="J371" si="215">SUM(J362:J370)</f>
        <v>0</v>
      </c>
      <c r="K371" s="493">
        <f t="shared" ref="K371" si="216">SUM(K362:K370)</f>
        <v>-10540288.590000002</v>
      </c>
      <c r="L371" s="493">
        <f t="shared" ref="L371" si="217">SUM(L362:L370)</f>
        <v>0</v>
      </c>
      <c r="M371" s="493">
        <f t="shared" ref="M371" si="218">SUM(M362:M370)</f>
        <v>49137929.090000004</v>
      </c>
      <c r="N371" s="493">
        <f t="shared" ref="N371" si="219">SUM(N362:N370)</f>
        <v>6891688.410000002</v>
      </c>
      <c r="O371" s="493">
        <f t="shared" ref="O371" si="220">SUM(O362:O370)</f>
        <v>-24663671.650000002</v>
      </c>
      <c r="P371" s="493">
        <f t="shared" ref="P371" si="221">SUM(P362:P370)</f>
        <v>1242532.1100000001</v>
      </c>
      <c r="Q371" s="493">
        <f t="shared" ref="Q371:R371" si="222">SUM(Q362:Q370)</f>
        <v>637740585.8499999</v>
      </c>
      <c r="R371" s="556">
        <f t="shared" si="222"/>
        <v>539523168.35000002</v>
      </c>
      <c r="S371" s="553">
        <f>R371+H371</f>
        <v>581710968.35000002</v>
      </c>
    </row>
    <row r="372" spans="1:19">
      <c r="C372" s="421">
        <f>C371/10^6</f>
        <v>81.873064960000008</v>
      </c>
      <c r="H372" s="429">
        <f>H371/10^7</f>
        <v>4.2187799999999998</v>
      </c>
      <c r="I372" s="429">
        <f t="shared" ref="I372:Q372" si="223">I371/10^7</f>
        <v>57.348459648000002</v>
      </c>
      <c r="J372" s="429">
        <f t="shared" si="223"/>
        <v>0</v>
      </c>
      <c r="K372" s="429">
        <f t="shared" si="223"/>
        <v>-1.0540288590000002</v>
      </c>
      <c r="L372" s="429">
        <f>L371/10^7</f>
        <v>0</v>
      </c>
      <c r="M372" s="429">
        <f t="shared" si="223"/>
        <v>4.9137929090000005</v>
      </c>
      <c r="N372" s="429">
        <f t="shared" si="223"/>
        <v>0.6891688410000002</v>
      </c>
      <c r="O372" s="429">
        <f t="shared" si="223"/>
        <v>-2.4663671650000003</v>
      </c>
      <c r="P372" s="429">
        <f t="shared" si="223"/>
        <v>0.12425321100000002</v>
      </c>
      <c r="Q372" s="429">
        <f t="shared" si="223"/>
        <v>63.774058584999992</v>
      </c>
    </row>
    <row r="373" spans="1:19">
      <c r="Q373" s="553">
        <f>Q371-M371-N371</f>
        <v>581710968.3499999</v>
      </c>
      <c r="R373" s="421" t="s">
        <v>877</v>
      </c>
    </row>
    <row r="374" spans="1:19">
      <c r="Q374" s="421">
        <v>581807406</v>
      </c>
      <c r="R374" s="421" t="s">
        <v>876</v>
      </c>
    </row>
    <row r="375" spans="1:19" ht="13.5" customHeight="1">
      <c r="A375" s="879"/>
      <c r="B375" s="1584" t="s">
        <v>1065</v>
      </c>
      <c r="C375" s="1584"/>
      <c r="D375" s="1584"/>
      <c r="E375" s="1584"/>
      <c r="F375" s="1584"/>
      <c r="G375" s="1585" t="s">
        <v>1066</v>
      </c>
      <c r="Q375" s="553">
        <f>Q374-Q373</f>
        <v>96437.650000095367</v>
      </c>
      <c r="R375" s="421" t="s">
        <v>878</v>
      </c>
    </row>
    <row r="376" spans="1:19" ht="30">
      <c r="A376" s="880" t="s">
        <v>252</v>
      </c>
      <c r="B376" s="881" t="s">
        <v>1067</v>
      </c>
      <c r="C376" s="882" t="s">
        <v>1068</v>
      </c>
      <c r="D376" s="882" t="s">
        <v>1069</v>
      </c>
      <c r="E376" s="882" t="s">
        <v>1070</v>
      </c>
      <c r="F376" s="882" t="s">
        <v>1071</v>
      </c>
      <c r="G376" s="1586"/>
    </row>
    <row r="377" spans="1:19">
      <c r="A377" s="883" t="s">
        <v>776</v>
      </c>
      <c r="B377" s="884">
        <f t="shared" ref="B377:G378" si="224">B524+B513+B502+B491+B480+B469+B458+B447+B436+B425+B414+B403</f>
        <v>74873302.99000001</v>
      </c>
      <c r="C377" s="884">
        <f t="shared" si="224"/>
        <v>19891873.719999999</v>
      </c>
      <c r="D377" s="884">
        <f t="shared" si="224"/>
        <v>30633314.350000001</v>
      </c>
      <c r="E377" s="884">
        <f t="shared" si="224"/>
        <v>10563226.76</v>
      </c>
      <c r="F377" s="884">
        <f t="shared" si="224"/>
        <v>13784888.160000002</v>
      </c>
      <c r="G377" s="884">
        <f t="shared" si="224"/>
        <v>-6223852.2000000002</v>
      </c>
      <c r="I377" s="929">
        <f>+C377/$B$377</f>
        <v>0.26567378392077529</v>
      </c>
      <c r="J377" s="929">
        <f t="shared" ref="J377:L377" si="225">+D377/$B$377</f>
        <v>0.40913534099185328</v>
      </c>
      <c r="K377" s="929">
        <f t="shared" si="225"/>
        <v>0.14108135127163832</v>
      </c>
      <c r="L377" s="929">
        <f t="shared" si="225"/>
        <v>0.18410952381573303</v>
      </c>
    </row>
    <row r="378" spans="1:19">
      <c r="A378" s="883" t="s">
        <v>785</v>
      </c>
      <c r="B378" s="884">
        <f t="shared" si="224"/>
        <v>0</v>
      </c>
      <c r="C378" s="884">
        <f t="shared" si="224"/>
        <v>0</v>
      </c>
      <c r="D378" s="884">
        <f t="shared" si="224"/>
        <v>0</v>
      </c>
      <c r="E378" s="884">
        <f t="shared" si="224"/>
        <v>0</v>
      </c>
      <c r="F378" s="884">
        <f t="shared" si="224"/>
        <v>0</v>
      </c>
      <c r="G378" s="884">
        <f t="shared" si="224"/>
        <v>0</v>
      </c>
      <c r="Q378" s="553"/>
    </row>
    <row r="379" spans="1:19">
      <c r="A379" s="885"/>
      <c r="B379" s="884"/>
      <c r="C379" s="884"/>
      <c r="D379" s="884"/>
      <c r="E379" s="884"/>
      <c r="F379" s="884"/>
      <c r="G379" s="884"/>
    </row>
    <row r="380" spans="1:19">
      <c r="A380" s="883" t="s">
        <v>787</v>
      </c>
      <c r="B380" s="884">
        <f t="shared" ref="B380:G383" si="226">B527+B516+B505+B494+B483+B472+B461+B450+B439+B428+B417+B406</f>
        <v>0</v>
      </c>
      <c r="C380" s="884">
        <f t="shared" si="226"/>
        <v>0</v>
      </c>
      <c r="D380" s="884">
        <f t="shared" si="226"/>
        <v>0</v>
      </c>
      <c r="E380" s="884">
        <f t="shared" si="226"/>
        <v>0</v>
      </c>
      <c r="F380" s="884">
        <f t="shared" si="226"/>
        <v>0</v>
      </c>
      <c r="G380" s="884">
        <f t="shared" si="226"/>
        <v>0</v>
      </c>
    </row>
    <row r="381" spans="1:19">
      <c r="A381" s="883" t="s">
        <v>777</v>
      </c>
      <c r="B381" s="884">
        <f t="shared" si="226"/>
        <v>316162.28000000003</v>
      </c>
      <c r="C381" s="884">
        <f t="shared" si="226"/>
        <v>0</v>
      </c>
      <c r="D381" s="884">
        <f t="shared" si="226"/>
        <v>0</v>
      </c>
      <c r="E381" s="884">
        <f t="shared" si="226"/>
        <v>0</v>
      </c>
      <c r="F381" s="884">
        <f t="shared" si="226"/>
        <v>0</v>
      </c>
      <c r="G381" s="884">
        <f t="shared" si="226"/>
        <v>0</v>
      </c>
    </row>
    <row r="382" spans="1:19">
      <c r="A382" s="883" t="s">
        <v>778</v>
      </c>
      <c r="B382" s="884">
        <f>B529+B518+B507+B496+B485+B474+B463+B452+B441+B430+B419+B408</f>
        <v>463113.2</v>
      </c>
      <c r="C382" s="884">
        <f t="shared" si="226"/>
        <v>111679.49</v>
      </c>
      <c r="D382" s="884">
        <f t="shared" si="226"/>
        <v>193245.26999999996</v>
      </c>
      <c r="E382" s="884">
        <f t="shared" si="226"/>
        <v>65045.600000000006</v>
      </c>
      <c r="F382" s="884">
        <f t="shared" si="226"/>
        <v>93142.840000000011</v>
      </c>
      <c r="G382" s="884">
        <f t="shared" si="226"/>
        <v>-13025.630000000001</v>
      </c>
      <c r="I382" s="929">
        <f>+C382/$B$382</f>
        <v>0.24114944251211151</v>
      </c>
      <c r="J382" s="929">
        <f t="shared" ref="J382:L382" si="227">+D382/$B$382</f>
        <v>0.41727437265877965</v>
      </c>
      <c r="K382" s="929">
        <f t="shared" si="227"/>
        <v>0.14045291734288723</v>
      </c>
      <c r="L382" s="929">
        <f t="shared" si="227"/>
        <v>0.20112326748622153</v>
      </c>
    </row>
    <row r="383" spans="1:19">
      <c r="A383" s="883" t="s">
        <v>779</v>
      </c>
      <c r="B383" s="884">
        <f>B530+B519+B508+B497+B486+B475+B464+B453+B442+B431+B420+B409</f>
        <v>187990.69999999998</v>
      </c>
      <c r="C383" s="884">
        <f t="shared" si="226"/>
        <v>0</v>
      </c>
      <c r="D383" s="884">
        <f t="shared" si="226"/>
        <v>0</v>
      </c>
      <c r="E383" s="884">
        <f t="shared" si="226"/>
        <v>0</v>
      </c>
      <c r="F383" s="884">
        <f t="shared" si="226"/>
        <v>0</v>
      </c>
      <c r="G383" s="884">
        <f t="shared" si="226"/>
        <v>0</v>
      </c>
    </row>
    <row r="384" spans="1:19">
      <c r="A384" s="883" t="s">
        <v>780</v>
      </c>
      <c r="B384" s="884">
        <f t="shared" ref="B384:G384" si="228">B531+B520+B509+B498+B487+B476+B465+B454+B443+B432+B421+B410</f>
        <v>7042649.5700000003</v>
      </c>
      <c r="C384" s="884">
        <f t="shared" si="228"/>
        <v>1898667.9999999998</v>
      </c>
      <c r="D384" s="884">
        <f t="shared" si="228"/>
        <v>2884201.84</v>
      </c>
      <c r="E384" s="884">
        <f t="shared" si="228"/>
        <v>985866.98</v>
      </c>
      <c r="F384" s="884">
        <f t="shared" si="228"/>
        <v>1273912.7500000002</v>
      </c>
      <c r="G384" s="884">
        <f t="shared" si="228"/>
        <v>-658004.3899999999</v>
      </c>
      <c r="I384" s="929">
        <f>+C384/$B$384</f>
        <v>0.26959569422392826</v>
      </c>
      <c r="J384" s="929">
        <f t="shared" ref="J384:L384" si="229">+D384/$B$384</f>
        <v>0.40953362954278011</v>
      </c>
      <c r="K384" s="929">
        <f t="shared" si="229"/>
        <v>0.13998523853856892</v>
      </c>
      <c r="L384" s="929">
        <f t="shared" si="229"/>
        <v>0.18088543769472265</v>
      </c>
    </row>
    <row r="385" spans="1:7" ht="15">
      <c r="A385" s="880" t="s">
        <v>115</v>
      </c>
      <c r="B385" s="886">
        <f t="shared" ref="B385:G385" si="230">SUM(B377:B384)</f>
        <v>82883218.74000001</v>
      </c>
      <c r="C385" s="886">
        <f t="shared" si="230"/>
        <v>21902221.209999997</v>
      </c>
      <c r="D385" s="886">
        <f t="shared" si="230"/>
        <v>33710761.460000001</v>
      </c>
      <c r="E385" s="886">
        <f t="shared" si="230"/>
        <v>11614139.34</v>
      </c>
      <c r="F385" s="886">
        <f t="shared" si="230"/>
        <v>15151943.750000002</v>
      </c>
      <c r="G385" s="887">
        <f t="shared" si="230"/>
        <v>-6894882.2199999997</v>
      </c>
    </row>
    <row r="386" spans="1:7">
      <c r="A386" s="879"/>
      <c r="B386" s="879"/>
      <c r="C386" s="879"/>
      <c r="D386" s="879"/>
      <c r="E386" s="879"/>
      <c r="F386" s="879"/>
      <c r="G386" s="879"/>
    </row>
    <row r="387" spans="1:7">
      <c r="A387" s="879"/>
      <c r="B387" s="879"/>
      <c r="C387" s="879"/>
      <c r="D387" s="879"/>
      <c r="E387" s="879"/>
      <c r="F387" s="879"/>
      <c r="G387" s="879"/>
    </row>
    <row r="388" spans="1:7" ht="45">
      <c r="A388" s="880" t="s">
        <v>252</v>
      </c>
      <c r="B388" s="881" t="s">
        <v>1113</v>
      </c>
      <c r="C388" s="882" t="s">
        <v>1068</v>
      </c>
      <c r="D388" s="882" t="s">
        <v>1069</v>
      </c>
      <c r="E388" s="882" t="s">
        <v>1070</v>
      </c>
      <c r="F388" s="882" t="s">
        <v>1071</v>
      </c>
      <c r="G388" s="888" t="str">
        <f>G375</f>
        <v>TOD Energy Charge Amount in Rs.</v>
      </c>
    </row>
    <row r="389" spans="1:7">
      <c r="A389" s="883" t="str">
        <f>A377</f>
        <v>HT I</v>
      </c>
      <c r="B389" s="884">
        <f>SUM(C389:F389)</f>
        <v>75398803.649899989</v>
      </c>
      <c r="C389" s="884">
        <f>C593+C582+C571+C560+C549+C538+C604+C615+C626+C637+C648+C659</f>
        <v>20128122.381200001</v>
      </c>
      <c r="D389" s="884">
        <f t="shared" ref="D389:F389" si="231">D593+D582+D571+D560+D549+D538+D604+D615+D626+D637+D648+D659</f>
        <v>30545751.113500003</v>
      </c>
      <c r="E389" s="884">
        <f t="shared" si="231"/>
        <v>10686663.7116</v>
      </c>
      <c r="F389" s="884">
        <f t="shared" si="231"/>
        <v>14038266.443599997</v>
      </c>
      <c r="G389" s="884">
        <f t="shared" ref="G389" si="232">G593+G582+G571+G560+G549+G538</f>
        <v>-2839580.66</v>
      </c>
    </row>
    <row r="390" spans="1:7">
      <c r="A390" s="883" t="str">
        <f t="shared" ref="A390:A396" si="233">A378</f>
        <v>HTII</v>
      </c>
      <c r="B390" s="884">
        <f t="shared" ref="B390:B396" si="234">SUM(C390:F390)</f>
        <v>0</v>
      </c>
      <c r="C390" s="884">
        <f>C594+C583+C572+C561+C550+C539+C605+C616+C627+C638+C649+C660</f>
        <v>0</v>
      </c>
      <c r="D390" s="884">
        <f t="shared" ref="D390:F390" si="235">D594+D583+D572+D561+D550+D539+D605+D616+D627+D638+D649+D660</f>
        <v>0</v>
      </c>
      <c r="E390" s="884">
        <f t="shared" si="235"/>
        <v>0</v>
      </c>
      <c r="F390" s="884">
        <f t="shared" si="235"/>
        <v>0</v>
      </c>
      <c r="G390" s="884">
        <f t="shared" ref="G390:G396" si="236">G594+G583+G572+G561+G550+G539</f>
        <v>0</v>
      </c>
    </row>
    <row r="391" spans="1:7">
      <c r="A391" s="883"/>
      <c r="B391" s="884">
        <f t="shared" si="234"/>
        <v>0</v>
      </c>
      <c r="C391" s="884">
        <f t="shared" ref="C391:F391" si="237">C595+C584+C573+C562+C551+C540+C606+C617+C628+C639+C650+C661</f>
        <v>0</v>
      </c>
      <c r="D391" s="884">
        <f t="shared" si="237"/>
        <v>0</v>
      </c>
      <c r="E391" s="884">
        <f t="shared" si="237"/>
        <v>0</v>
      </c>
      <c r="F391" s="884">
        <f t="shared" si="237"/>
        <v>0</v>
      </c>
      <c r="G391" s="884">
        <f t="shared" si="236"/>
        <v>0</v>
      </c>
    </row>
    <row r="392" spans="1:7">
      <c r="A392" s="883" t="str">
        <f t="shared" si="233"/>
        <v>LT I (G-P)</v>
      </c>
      <c r="B392" s="884">
        <f t="shared" si="234"/>
        <v>0</v>
      </c>
      <c r="C392" s="884">
        <f t="shared" ref="C392:F392" si="238">C596+C585+C574+C563+C552+C541+C607+C618+C629+C640+C651+C662</f>
        <v>0</v>
      </c>
      <c r="D392" s="884">
        <f t="shared" si="238"/>
        <v>0</v>
      </c>
      <c r="E392" s="884">
        <f t="shared" si="238"/>
        <v>0</v>
      </c>
      <c r="F392" s="884">
        <f t="shared" si="238"/>
        <v>0</v>
      </c>
      <c r="G392" s="884">
        <f t="shared" si="236"/>
        <v>0</v>
      </c>
    </row>
    <row r="393" spans="1:7">
      <c r="A393" s="883" t="str">
        <f t="shared" si="233"/>
        <v>LT II (A)</v>
      </c>
      <c r="B393" s="884">
        <f t="shared" si="234"/>
        <v>0</v>
      </c>
      <c r="C393" s="884">
        <f t="shared" ref="C393:F393" si="239">C597+C586+C575+C564+C553+C542+C608+C619+C630+C641+C652+C663</f>
        <v>0</v>
      </c>
      <c r="D393" s="884">
        <f t="shared" si="239"/>
        <v>0</v>
      </c>
      <c r="E393" s="884">
        <f t="shared" si="239"/>
        <v>0</v>
      </c>
      <c r="F393" s="884">
        <f t="shared" si="239"/>
        <v>0</v>
      </c>
      <c r="G393" s="884">
        <f t="shared" si="236"/>
        <v>0</v>
      </c>
    </row>
    <row r="394" spans="1:7">
      <c r="A394" s="883" t="str">
        <f t="shared" si="233"/>
        <v>LT II (B)</v>
      </c>
      <c r="B394" s="884">
        <f t="shared" si="234"/>
        <v>521926.08399999997</v>
      </c>
      <c r="C394" s="884">
        <f t="shared" ref="C394:F394" si="240">C598+C587+C576+C565+C554+C543+C609+C620+C631+C642+C653+C664</f>
        <v>130758.1373</v>
      </c>
      <c r="D394" s="884">
        <f t="shared" si="240"/>
        <v>214881.78509999998</v>
      </c>
      <c r="E394" s="884">
        <f t="shared" si="240"/>
        <v>74642.906599999988</v>
      </c>
      <c r="F394" s="884">
        <f t="shared" si="240"/>
        <v>101643.255</v>
      </c>
      <c r="G394" s="884">
        <f t="shared" si="236"/>
        <v>-10688.7</v>
      </c>
    </row>
    <row r="395" spans="1:7">
      <c r="A395" s="883" t="str">
        <f t="shared" si="233"/>
        <v>LT III (A)</v>
      </c>
      <c r="B395" s="884">
        <f t="shared" si="234"/>
        <v>0</v>
      </c>
      <c r="C395" s="884">
        <f t="shared" ref="C395:F395" si="241">C599+C588+C577+C566+C555+C544+C610+C621+C632+C643+C654+C665</f>
        <v>0</v>
      </c>
      <c r="D395" s="884">
        <f t="shared" si="241"/>
        <v>0</v>
      </c>
      <c r="E395" s="884">
        <f t="shared" si="241"/>
        <v>0</v>
      </c>
      <c r="F395" s="884">
        <f t="shared" si="241"/>
        <v>0</v>
      </c>
      <c r="G395" s="884">
        <f t="shared" si="236"/>
        <v>0</v>
      </c>
    </row>
    <row r="396" spans="1:7">
      <c r="A396" s="883" t="str">
        <f t="shared" si="233"/>
        <v>LT III (B)</v>
      </c>
      <c r="B396" s="884">
        <f t="shared" si="234"/>
        <v>7168949.0856999997</v>
      </c>
      <c r="C396" s="884">
        <f t="shared" ref="C396:F396" si="242">C600+C589+C578+C567+C556+C545+C611+C622+C633+C644+C655+C666</f>
        <v>1930178.78</v>
      </c>
      <c r="D396" s="884">
        <f t="shared" si="242"/>
        <v>2915487.9224</v>
      </c>
      <c r="E396" s="884">
        <f t="shared" si="242"/>
        <v>1018383.3478</v>
      </c>
      <c r="F396" s="884">
        <f t="shared" si="242"/>
        <v>1304899.0355</v>
      </c>
      <c r="G396" s="884">
        <f t="shared" si="236"/>
        <v>-303221.94</v>
      </c>
    </row>
    <row r="397" spans="1:7" ht="15">
      <c r="A397" s="880" t="s">
        <v>115</v>
      </c>
      <c r="B397" s="886">
        <f t="shared" ref="B397:G397" si="243">SUM(B389:B396)</f>
        <v>83089678.819600001</v>
      </c>
      <c r="C397" s="886">
        <f t="shared" si="243"/>
        <v>22189059.298500001</v>
      </c>
      <c r="D397" s="886">
        <f t="shared" si="243"/>
        <v>33676120.821000002</v>
      </c>
      <c r="E397" s="886">
        <f t="shared" si="243"/>
        <v>11779689.966</v>
      </c>
      <c r="F397" s="886">
        <f t="shared" si="243"/>
        <v>15444808.734099997</v>
      </c>
      <c r="G397" s="887">
        <f t="shared" si="243"/>
        <v>-3153491.3000000003</v>
      </c>
    </row>
    <row r="398" spans="1:7">
      <c r="A398" s="879"/>
      <c r="B398" s="879"/>
      <c r="C398" s="879"/>
      <c r="D398" s="879"/>
      <c r="E398" s="879"/>
      <c r="F398" s="879"/>
      <c r="G398" s="879"/>
    </row>
    <row r="399" spans="1:7">
      <c r="A399" s="879"/>
      <c r="B399" s="879"/>
      <c r="C399" s="879"/>
      <c r="D399" s="879"/>
      <c r="E399" s="879"/>
      <c r="F399" s="879"/>
      <c r="G399" s="879"/>
    </row>
    <row r="400" spans="1:7" ht="16.5">
      <c r="A400" s="889"/>
      <c r="B400" s="889"/>
      <c r="C400" s="889"/>
      <c r="D400" s="889"/>
      <c r="E400" s="889"/>
      <c r="F400" s="889"/>
      <c r="G400" s="879"/>
    </row>
    <row r="401" spans="1:7">
      <c r="A401" s="879"/>
      <c r="B401" s="879"/>
      <c r="C401" s="879"/>
      <c r="D401" s="879"/>
      <c r="E401" s="879"/>
      <c r="F401" s="879"/>
      <c r="G401" s="879"/>
    </row>
    <row r="402" spans="1:7" ht="30">
      <c r="A402" s="476" t="s">
        <v>771</v>
      </c>
      <c r="B402" s="890">
        <v>42461</v>
      </c>
      <c r="C402" s="891" t="s">
        <v>1068</v>
      </c>
      <c r="D402" s="891" t="s">
        <v>1069</v>
      </c>
      <c r="E402" s="891" t="s">
        <v>1070</v>
      </c>
      <c r="F402" s="891" t="s">
        <v>1071</v>
      </c>
      <c r="G402" s="892" t="s">
        <v>1066</v>
      </c>
    </row>
    <row r="403" spans="1:7">
      <c r="A403" s="883" t="str">
        <f>A377</f>
        <v>HT I</v>
      </c>
      <c r="B403" s="884">
        <v>6706512</v>
      </c>
      <c r="C403" s="884">
        <v>1714200.4000000001</v>
      </c>
      <c r="D403" s="884">
        <v>2811655.8000000003</v>
      </c>
      <c r="E403" s="884">
        <v>958670.00000000012</v>
      </c>
      <c r="F403" s="884">
        <v>1221985.8</v>
      </c>
      <c r="G403" s="884">
        <v>-460180.22</v>
      </c>
    </row>
    <row r="404" spans="1:7">
      <c r="A404" s="883" t="str">
        <f t="shared" ref="A404:A410" si="244">A378</f>
        <v>HTII</v>
      </c>
      <c r="B404" s="884">
        <v>0</v>
      </c>
      <c r="C404" s="884">
        <v>0</v>
      </c>
      <c r="D404" s="884">
        <v>0</v>
      </c>
      <c r="E404" s="884">
        <v>0</v>
      </c>
      <c r="F404" s="884">
        <v>0</v>
      </c>
      <c r="G404" s="884">
        <v>0</v>
      </c>
    </row>
    <row r="405" spans="1:7">
      <c r="A405" s="883"/>
      <c r="B405" s="884"/>
      <c r="C405" s="884"/>
      <c r="D405" s="884"/>
      <c r="E405" s="884"/>
      <c r="F405" s="884"/>
      <c r="G405" s="884"/>
    </row>
    <row r="406" spans="1:7">
      <c r="A406" s="883" t="str">
        <f t="shared" si="244"/>
        <v>LT I (G-P)</v>
      </c>
      <c r="B406" s="884">
        <v>0</v>
      </c>
      <c r="C406" s="884">
        <v>0</v>
      </c>
      <c r="D406" s="884">
        <v>0</v>
      </c>
      <c r="E406" s="884">
        <v>0</v>
      </c>
      <c r="F406" s="884">
        <v>0</v>
      </c>
      <c r="G406" s="884">
        <v>0</v>
      </c>
    </row>
    <row r="407" spans="1:7">
      <c r="A407" s="883" t="str">
        <f t="shared" si="244"/>
        <v>LT II (A)</v>
      </c>
      <c r="B407" s="884">
        <v>10271.5</v>
      </c>
      <c r="C407" s="884">
        <v>0</v>
      </c>
      <c r="D407" s="884">
        <v>0</v>
      </c>
      <c r="E407" s="884">
        <v>0</v>
      </c>
      <c r="F407" s="884">
        <v>0</v>
      </c>
      <c r="G407" s="884">
        <v>0</v>
      </c>
    </row>
    <row r="408" spans="1:7">
      <c r="A408" s="883" t="str">
        <f t="shared" si="244"/>
        <v>LT II (B)</v>
      </c>
      <c r="B408" s="884">
        <v>26453.7</v>
      </c>
      <c r="C408" s="884">
        <v>5644.4300000000039</v>
      </c>
      <c r="D408" s="884">
        <v>11610.019999999999</v>
      </c>
      <c r="E408" s="884">
        <v>3903.1600000000008</v>
      </c>
      <c r="F408" s="884">
        <v>5296.0900000000011</v>
      </c>
      <c r="G408" s="884">
        <v>481.57999999999993</v>
      </c>
    </row>
    <row r="409" spans="1:7">
      <c r="A409" s="883" t="str">
        <f t="shared" si="244"/>
        <v>LT III (A)</v>
      </c>
      <c r="B409" s="884">
        <v>28980.799999999999</v>
      </c>
      <c r="C409" s="884">
        <v>0</v>
      </c>
      <c r="D409" s="884">
        <v>0</v>
      </c>
      <c r="E409" s="884">
        <v>0</v>
      </c>
      <c r="F409" s="884">
        <v>0</v>
      </c>
      <c r="G409" s="884">
        <v>0</v>
      </c>
    </row>
    <row r="410" spans="1:7">
      <c r="A410" s="883" t="str">
        <f t="shared" si="244"/>
        <v>LT III (B)</v>
      </c>
      <c r="B410" s="884">
        <v>606479</v>
      </c>
      <c r="C410" s="884">
        <v>159938.6</v>
      </c>
      <c r="D410" s="884">
        <v>252842.59999999995</v>
      </c>
      <c r="E410" s="884">
        <v>86257.200000000012</v>
      </c>
      <c r="F410" s="884">
        <v>107440.59999999999</v>
      </c>
      <c r="G410" s="884">
        <v>-52717.479999999996</v>
      </c>
    </row>
    <row r="411" spans="1:7" ht="15">
      <c r="A411" s="883"/>
      <c r="B411" s="893">
        <f t="shared" ref="B411:G411" si="245">SUM(B403:B410)</f>
        <v>7378697</v>
      </c>
      <c r="C411" s="893">
        <f t="shared" si="245"/>
        <v>1879783.4300000002</v>
      </c>
      <c r="D411" s="893">
        <f t="shared" si="245"/>
        <v>3076108.4200000004</v>
      </c>
      <c r="E411" s="893">
        <f t="shared" si="245"/>
        <v>1048830.3600000001</v>
      </c>
      <c r="F411" s="893">
        <f t="shared" si="245"/>
        <v>1334722.4900000002</v>
      </c>
      <c r="G411" s="893">
        <f t="shared" si="245"/>
        <v>-512416.11999999994</v>
      </c>
    </row>
    <row r="412" spans="1:7">
      <c r="A412" s="879"/>
      <c r="B412" s="879"/>
      <c r="C412" s="894"/>
      <c r="D412" s="894"/>
      <c r="E412" s="894"/>
      <c r="F412" s="894"/>
      <c r="G412" s="879"/>
    </row>
    <row r="413" spans="1:7" ht="30">
      <c r="A413" s="476" t="s">
        <v>771</v>
      </c>
      <c r="B413" s="890">
        <v>42491</v>
      </c>
      <c r="C413" s="891" t="s">
        <v>1068</v>
      </c>
      <c r="D413" s="891" t="s">
        <v>1069</v>
      </c>
      <c r="E413" s="891" t="s">
        <v>1070</v>
      </c>
      <c r="F413" s="891" t="s">
        <v>1071</v>
      </c>
      <c r="G413" s="892" t="s">
        <v>1066</v>
      </c>
    </row>
    <row r="414" spans="1:7">
      <c r="A414" s="883" t="str">
        <f>A403</f>
        <v>HT I</v>
      </c>
      <c r="B414" s="884">
        <v>7268142</v>
      </c>
      <c r="C414" s="884">
        <v>1851654.6000000003</v>
      </c>
      <c r="D414" s="884">
        <v>3059427.8</v>
      </c>
      <c r="E414" s="884">
        <v>1022002.2000000001</v>
      </c>
      <c r="F414" s="884">
        <v>1335057.3999999999</v>
      </c>
      <c r="G414" s="884">
        <v>-491317</v>
      </c>
    </row>
    <row r="415" spans="1:7">
      <c r="A415" s="883" t="str">
        <f t="shared" ref="A415:A421" si="246">A404</f>
        <v>HTII</v>
      </c>
      <c r="B415" s="884">
        <v>0</v>
      </c>
      <c r="C415" s="884">
        <v>0</v>
      </c>
      <c r="D415" s="884">
        <v>0</v>
      </c>
      <c r="E415" s="884">
        <v>0</v>
      </c>
      <c r="F415" s="884">
        <v>0</v>
      </c>
      <c r="G415" s="884">
        <v>0</v>
      </c>
    </row>
    <row r="416" spans="1:7">
      <c r="A416" s="883"/>
      <c r="B416" s="884"/>
      <c r="C416" s="884"/>
      <c r="D416" s="884"/>
      <c r="E416" s="884"/>
      <c r="F416" s="884"/>
      <c r="G416" s="884"/>
    </row>
    <row r="417" spans="1:7">
      <c r="A417" s="883" t="str">
        <f t="shared" si="246"/>
        <v>LT I (G-P)</v>
      </c>
      <c r="B417" s="884">
        <v>0</v>
      </c>
      <c r="C417" s="884">
        <v>0</v>
      </c>
      <c r="D417" s="884">
        <v>0</v>
      </c>
      <c r="E417" s="884">
        <v>0</v>
      </c>
      <c r="F417" s="884">
        <v>0</v>
      </c>
      <c r="G417" s="884">
        <v>0</v>
      </c>
    </row>
    <row r="418" spans="1:7">
      <c r="A418" s="883" t="str">
        <f t="shared" si="246"/>
        <v>LT II (A)</v>
      </c>
      <c r="B418" s="884">
        <v>10396</v>
      </c>
      <c r="C418" s="884">
        <v>0</v>
      </c>
      <c r="D418" s="884">
        <v>0</v>
      </c>
      <c r="E418" s="884">
        <v>0</v>
      </c>
      <c r="F418" s="884">
        <v>0</v>
      </c>
      <c r="G418" s="884">
        <v>0</v>
      </c>
    </row>
    <row r="419" spans="1:7">
      <c r="A419" s="883" t="str">
        <f t="shared" si="246"/>
        <v>LT II (B)</v>
      </c>
      <c r="B419" s="884">
        <v>27427.3</v>
      </c>
      <c r="C419" s="884">
        <v>5884.7699999999995</v>
      </c>
      <c r="D419" s="884">
        <v>11678.710000000003</v>
      </c>
      <c r="E419" s="884">
        <v>4108.5199999999986</v>
      </c>
      <c r="F419" s="884">
        <v>5755.2999999999993</v>
      </c>
      <c r="G419" s="884">
        <v>790.49</v>
      </c>
    </row>
    <row r="420" spans="1:7">
      <c r="A420" s="883" t="str">
        <f t="shared" si="246"/>
        <v>LT III (A)</v>
      </c>
      <c r="B420" s="884">
        <v>32345.3</v>
      </c>
      <c r="C420" s="884">
        <v>0</v>
      </c>
      <c r="D420" s="884">
        <v>0</v>
      </c>
      <c r="E420" s="884">
        <v>0</v>
      </c>
      <c r="F420" s="884">
        <v>0</v>
      </c>
      <c r="G420" s="884">
        <v>0</v>
      </c>
    </row>
    <row r="421" spans="1:7">
      <c r="A421" s="883" t="str">
        <f t="shared" si="246"/>
        <v>LT III (B)</v>
      </c>
      <c r="B421" s="884">
        <v>627725</v>
      </c>
      <c r="C421" s="884">
        <v>164870.00000000003</v>
      </c>
      <c r="D421" s="884">
        <v>260495.59999999995</v>
      </c>
      <c r="E421" s="884">
        <v>89411.599999999991</v>
      </c>
      <c r="F421" s="884">
        <v>112947.8</v>
      </c>
      <c r="G421" s="884">
        <v>-51533.14</v>
      </c>
    </row>
    <row r="422" spans="1:7" ht="15">
      <c r="A422" s="883"/>
      <c r="B422" s="893">
        <f t="shared" ref="B422:G422" si="247">SUM(B414:B421)</f>
        <v>7966035.5999999996</v>
      </c>
      <c r="C422" s="893">
        <f t="shared" si="247"/>
        <v>2022409.3700000003</v>
      </c>
      <c r="D422" s="893">
        <f t="shared" si="247"/>
        <v>3331602.11</v>
      </c>
      <c r="E422" s="893">
        <f t="shared" si="247"/>
        <v>1115522.32</v>
      </c>
      <c r="F422" s="893">
        <f t="shared" si="247"/>
        <v>1453760.5</v>
      </c>
      <c r="G422" s="893">
        <f t="shared" si="247"/>
        <v>-542059.65</v>
      </c>
    </row>
    <row r="423" spans="1:7">
      <c r="A423" s="879"/>
      <c r="B423" s="879"/>
      <c r="C423" s="895"/>
      <c r="D423" s="895"/>
      <c r="E423" s="895"/>
      <c r="F423" s="895"/>
      <c r="G423" s="879"/>
    </row>
    <row r="424" spans="1:7" ht="30">
      <c r="A424" s="476" t="s">
        <v>771</v>
      </c>
      <c r="B424" s="890">
        <v>42522</v>
      </c>
      <c r="C424" s="891" t="s">
        <v>1068</v>
      </c>
      <c r="D424" s="891" t="s">
        <v>1069</v>
      </c>
      <c r="E424" s="891" t="s">
        <v>1070</v>
      </c>
      <c r="F424" s="891" t="s">
        <v>1071</v>
      </c>
      <c r="G424" s="892" t="s">
        <v>1066</v>
      </c>
    </row>
    <row r="425" spans="1:7">
      <c r="A425" s="883" t="str">
        <f>A414</f>
        <v>HT I</v>
      </c>
      <c r="B425" s="884">
        <v>6860009</v>
      </c>
      <c r="C425" s="884">
        <v>1738350.2</v>
      </c>
      <c r="D425" s="884">
        <v>2937023.0000000005</v>
      </c>
      <c r="E425" s="884">
        <v>959749.00000000023</v>
      </c>
      <c r="F425" s="884">
        <v>1224886.8</v>
      </c>
      <c r="G425" s="884">
        <v>-492350.62000000005</v>
      </c>
    </row>
    <row r="426" spans="1:7">
      <c r="A426" s="883" t="str">
        <f t="shared" ref="A426:A432" si="248">A415</f>
        <v>HTII</v>
      </c>
      <c r="B426" s="884">
        <v>0</v>
      </c>
      <c r="C426" s="884">
        <v>0</v>
      </c>
      <c r="D426" s="884">
        <v>0</v>
      </c>
      <c r="E426" s="884">
        <v>0</v>
      </c>
      <c r="F426" s="884">
        <v>0</v>
      </c>
      <c r="G426" s="884">
        <v>0</v>
      </c>
    </row>
    <row r="427" spans="1:7">
      <c r="A427" s="883"/>
      <c r="B427" s="884"/>
      <c r="C427" s="884"/>
      <c r="D427" s="884"/>
      <c r="E427" s="884"/>
      <c r="F427" s="884"/>
      <c r="G427" s="884"/>
    </row>
    <row r="428" spans="1:7">
      <c r="A428" s="883" t="str">
        <f t="shared" si="248"/>
        <v>LT I (G-P)</v>
      </c>
      <c r="B428" s="884">
        <v>0</v>
      </c>
      <c r="C428" s="884">
        <v>0</v>
      </c>
      <c r="D428" s="884">
        <v>0</v>
      </c>
      <c r="E428" s="884">
        <v>0</v>
      </c>
      <c r="F428" s="884">
        <v>0</v>
      </c>
      <c r="G428" s="884">
        <v>0</v>
      </c>
    </row>
    <row r="429" spans="1:7">
      <c r="A429" s="883" t="str">
        <f t="shared" si="248"/>
        <v>LT II (A)</v>
      </c>
      <c r="B429" s="884">
        <v>10264.199999999999</v>
      </c>
      <c r="C429" s="884">
        <v>0</v>
      </c>
      <c r="D429" s="884">
        <v>0</v>
      </c>
      <c r="E429" s="884">
        <v>0</v>
      </c>
      <c r="F429" s="884">
        <v>0</v>
      </c>
      <c r="G429" s="884">
        <v>0</v>
      </c>
    </row>
    <row r="430" spans="1:7">
      <c r="A430" s="883" t="str">
        <f t="shared" si="248"/>
        <v>LT II (B)</v>
      </c>
      <c r="B430" s="884">
        <v>26085.8</v>
      </c>
      <c r="C430" s="884">
        <v>5502.3999999999987</v>
      </c>
      <c r="D430" s="884">
        <v>11356.49</v>
      </c>
      <c r="E430" s="884">
        <v>3822.3100000000022</v>
      </c>
      <c r="F430" s="884">
        <v>5404.5999999999995</v>
      </c>
      <c r="G430" s="884">
        <v>749.31</v>
      </c>
    </row>
    <row r="431" spans="1:7">
      <c r="A431" s="883" t="str">
        <f t="shared" si="248"/>
        <v>LT III (A)</v>
      </c>
      <c r="B431" s="884">
        <v>30071.899999999998</v>
      </c>
      <c r="C431" s="884">
        <v>0</v>
      </c>
      <c r="D431" s="884">
        <v>0</v>
      </c>
      <c r="E431" s="884">
        <v>0</v>
      </c>
      <c r="F431" s="884">
        <v>0</v>
      </c>
      <c r="G431" s="884">
        <v>0</v>
      </c>
    </row>
    <row r="432" spans="1:7">
      <c r="A432" s="883" t="str">
        <f t="shared" si="248"/>
        <v>LT III (B)</v>
      </c>
      <c r="B432" s="884">
        <v>610945</v>
      </c>
      <c r="C432" s="884">
        <v>158051.00000000003</v>
      </c>
      <c r="D432" s="884">
        <v>262393.79999999993</v>
      </c>
      <c r="E432" s="884">
        <v>83204.600000000006</v>
      </c>
      <c r="F432" s="884">
        <v>107295.60000000002</v>
      </c>
      <c r="G432" s="884">
        <v>-52487.66</v>
      </c>
    </row>
    <row r="433" spans="1:7" ht="15">
      <c r="A433" s="883"/>
      <c r="B433" s="893">
        <f t="shared" ref="B433:G433" si="249">SUM(B425:B432)</f>
        <v>7537375.9000000004</v>
      </c>
      <c r="C433" s="893">
        <f t="shared" si="249"/>
        <v>1901903.5999999999</v>
      </c>
      <c r="D433" s="893">
        <f t="shared" si="249"/>
        <v>3210773.2900000005</v>
      </c>
      <c r="E433" s="893">
        <f t="shared" si="249"/>
        <v>1046775.9100000003</v>
      </c>
      <c r="F433" s="893">
        <f t="shared" si="249"/>
        <v>1337587.0000000002</v>
      </c>
      <c r="G433" s="893">
        <f t="shared" si="249"/>
        <v>-544088.97000000009</v>
      </c>
    </row>
    <row r="434" spans="1:7">
      <c r="A434" s="879"/>
      <c r="B434" s="879"/>
      <c r="C434" s="896"/>
      <c r="D434" s="896"/>
      <c r="E434" s="896"/>
      <c r="F434" s="896"/>
      <c r="G434" s="879"/>
    </row>
    <row r="435" spans="1:7" ht="15">
      <c r="A435" s="476" t="s">
        <v>771</v>
      </c>
      <c r="B435" s="890">
        <v>42552</v>
      </c>
      <c r="C435" s="891" t="s">
        <v>1068</v>
      </c>
      <c r="D435" s="891" t="s">
        <v>1069</v>
      </c>
      <c r="E435" s="891" t="s">
        <v>1070</v>
      </c>
      <c r="F435" s="891" t="s">
        <v>1071</v>
      </c>
      <c r="G435" s="897" t="s">
        <v>1072</v>
      </c>
    </row>
    <row r="436" spans="1:7">
      <c r="A436" s="883" t="str">
        <f>A425</f>
        <v>HT I</v>
      </c>
      <c r="B436" s="884">
        <v>6205027</v>
      </c>
      <c r="C436" s="884">
        <v>1650622.4000000001</v>
      </c>
      <c r="D436" s="884">
        <v>2535590.4000000004</v>
      </c>
      <c r="E436" s="884">
        <v>883436.19999999984</v>
      </c>
      <c r="F436" s="884">
        <v>1135378.0000000005</v>
      </c>
      <c r="G436" s="884">
        <v>-520268.84000000008</v>
      </c>
    </row>
    <row r="437" spans="1:7">
      <c r="A437" s="883" t="str">
        <f t="shared" ref="A437:A443" si="250">A426</f>
        <v>HTII</v>
      </c>
      <c r="B437" s="884">
        <v>0</v>
      </c>
      <c r="C437" s="884">
        <v>0</v>
      </c>
      <c r="D437" s="884">
        <v>0</v>
      </c>
      <c r="E437" s="884">
        <v>0</v>
      </c>
      <c r="F437" s="884">
        <v>0</v>
      </c>
      <c r="G437" s="884">
        <v>0</v>
      </c>
    </row>
    <row r="438" spans="1:7">
      <c r="A438" s="883"/>
      <c r="B438" s="884"/>
      <c r="C438" s="884"/>
      <c r="D438" s="884"/>
      <c r="E438" s="884"/>
      <c r="F438" s="884"/>
      <c r="G438" s="884"/>
    </row>
    <row r="439" spans="1:7">
      <c r="A439" s="883" t="str">
        <f t="shared" si="250"/>
        <v>LT I (G-P)</v>
      </c>
      <c r="B439" s="884">
        <v>0</v>
      </c>
      <c r="C439" s="884">
        <v>0</v>
      </c>
      <c r="D439" s="884">
        <v>0</v>
      </c>
      <c r="E439" s="884">
        <v>0</v>
      </c>
      <c r="F439" s="884">
        <v>0</v>
      </c>
      <c r="G439" s="884">
        <v>0</v>
      </c>
    </row>
    <row r="440" spans="1:7">
      <c r="A440" s="883" t="str">
        <f t="shared" si="250"/>
        <v>LT II (A)</v>
      </c>
      <c r="B440" s="884">
        <v>8360.2000000000007</v>
      </c>
      <c r="C440" s="884">
        <v>0</v>
      </c>
      <c r="D440" s="884">
        <v>0</v>
      </c>
      <c r="E440" s="884">
        <v>0</v>
      </c>
      <c r="F440" s="884">
        <v>0</v>
      </c>
      <c r="G440" s="884">
        <v>0</v>
      </c>
    </row>
    <row r="441" spans="1:7">
      <c r="A441" s="883" t="str">
        <f t="shared" si="250"/>
        <v>LT II (B)</v>
      </c>
      <c r="B441" s="884">
        <v>24583.699999999997</v>
      </c>
      <c r="C441" s="884">
        <v>5604.0599999999995</v>
      </c>
      <c r="D441" s="884">
        <v>10064.240000000005</v>
      </c>
      <c r="E441" s="884">
        <v>3766.2499999999973</v>
      </c>
      <c r="F441" s="884">
        <v>5149.1500000000015</v>
      </c>
      <c r="G441" s="884">
        <v>270.9799999999999</v>
      </c>
    </row>
    <row r="442" spans="1:7">
      <c r="A442" s="883" t="str">
        <f t="shared" si="250"/>
        <v>LT III (A)</v>
      </c>
      <c r="B442" s="884">
        <v>30931.099999999995</v>
      </c>
      <c r="C442" s="884">
        <v>0</v>
      </c>
      <c r="D442" s="884">
        <v>0</v>
      </c>
      <c r="E442" s="884">
        <v>0</v>
      </c>
      <c r="F442" s="884">
        <v>0</v>
      </c>
      <c r="G442" s="884">
        <v>0</v>
      </c>
    </row>
    <row r="443" spans="1:7">
      <c r="A443" s="883" t="str">
        <f t="shared" si="250"/>
        <v>LT III (B)</v>
      </c>
      <c r="B443" s="884">
        <v>583438</v>
      </c>
      <c r="C443" s="884">
        <v>157963.59999999995</v>
      </c>
      <c r="D443" s="884">
        <v>238495.40000000008</v>
      </c>
      <c r="E443" s="884">
        <v>81745.199999999968</v>
      </c>
      <c r="F443" s="884">
        <v>105233.80000000002</v>
      </c>
      <c r="G443" s="884">
        <v>-55792.060000000005</v>
      </c>
    </row>
    <row r="444" spans="1:7" ht="15">
      <c r="A444" s="883"/>
      <c r="B444" s="893">
        <f t="shared" ref="B444:G444" si="251">SUM(B436:B443)</f>
        <v>6852340</v>
      </c>
      <c r="C444" s="893">
        <f t="shared" si="251"/>
        <v>1814190.06</v>
      </c>
      <c r="D444" s="893">
        <f t="shared" si="251"/>
        <v>2784150.0400000005</v>
      </c>
      <c r="E444" s="893">
        <f t="shared" si="251"/>
        <v>968947.64999999979</v>
      </c>
      <c r="F444" s="893">
        <f t="shared" si="251"/>
        <v>1245760.9500000004</v>
      </c>
      <c r="G444" s="893">
        <f t="shared" si="251"/>
        <v>-575789.92000000016</v>
      </c>
    </row>
    <row r="445" spans="1:7">
      <c r="A445" s="879"/>
      <c r="B445" s="879"/>
      <c r="C445" s="879"/>
      <c r="D445" s="879"/>
      <c r="E445" s="879"/>
      <c r="F445" s="879"/>
      <c r="G445" s="879"/>
    </row>
    <row r="446" spans="1:7" ht="15">
      <c r="A446" s="476" t="s">
        <v>771</v>
      </c>
      <c r="B446" s="890">
        <v>42583</v>
      </c>
      <c r="C446" s="891" t="s">
        <v>1068</v>
      </c>
      <c r="D446" s="891" t="s">
        <v>1069</v>
      </c>
      <c r="E446" s="891" t="s">
        <v>1070</v>
      </c>
      <c r="F446" s="891" t="s">
        <v>1071</v>
      </c>
      <c r="G446" s="897" t="str">
        <f>G435</f>
        <v>TOD Energy Charge</v>
      </c>
    </row>
    <row r="447" spans="1:7">
      <c r="A447" s="883" t="str">
        <f>A436</f>
        <v>HT I</v>
      </c>
      <c r="B447" s="884">
        <v>6455553</v>
      </c>
      <c r="C447" s="884">
        <v>1686222.1999999997</v>
      </c>
      <c r="D447" s="884">
        <v>2662947.2000000002</v>
      </c>
      <c r="E447" s="884">
        <v>918257.80000000016</v>
      </c>
      <c r="F447" s="884">
        <v>1188125.7999999998</v>
      </c>
      <c r="G447" s="884">
        <v>-487788.67999999993</v>
      </c>
    </row>
    <row r="448" spans="1:7">
      <c r="A448" s="883" t="str">
        <f t="shared" ref="A448:A454" si="252">A437</f>
        <v>HTII</v>
      </c>
      <c r="B448" s="884">
        <v>0</v>
      </c>
      <c r="C448" s="884">
        <v>0</v>
      </c>
      <c r="D448" s="884">
        <v>0</v>
      </c>
      <c r="E448" s="884">
        <v>0</v>
      </c>
      <c r="F448" s="884">
        <v>0</v>
      </c>
      <c r="G448" s="884">
        <v>0</v>
      </c>
    </row>
    <row r="449" spans="1:7">
      <c r="A449" s="883"/>
      <c r="B449" s="884"/>
      <c r="C449" s="884"/>
      <c r="D449" s="884"/>
      <c r="E449" s="884"/>
      <c r="F449" s="884"/>
      <c r="G449" s="884"/>
    </row>
    <row r="450" spans="1:7">
      <c r="A450" s="883" t="str">
        <f t="shared" si="252"/>
        <v>LT I (G-P)</v>
      </c>
      <c r="B450" s="884">
        <v>0</v>
      </c>
      <c r="C450" s="884">
        <v>0</v>
      </c>
      <c r="D450" s="884">
        <v>0</v>
      </c>
      <c r="E450" s="884">
        <v>0</v>
      </c>
      <c r="F450" s="884">
        <v>0</v>
      </c>
      <c r="G450" s="884">
        <v>0</v>
      </c>
    </row>
    <row r="451" spans="1:7">
      <c r="A451" s="883" t="str">
        <f t="shared" si="252"/>
        <v>LT II (A)</v>
      </c>
      <c r="B451" s="884">
        <v>9465.6000000000022</v>
      </c>
      <c r="C451" s="884">
        <v>0</v>
      </c>
      <c r="D451" s="884">
        <v>0</v>
      </c>
      <c r="E451" s="884">
        <v>0</v>
      </c>
      <c r="F451" s="884">
        <v>0</v>
      </c>
      <c r="G451" s="884">
        <v>0</v>
      </c>
    </row>
    <row r="452" spans="1:7">
      <c r="A452" s="883" t="str">
        <f t="shared" si="252"/>
        <v>LT II (B)</v>
      </c>
      <c r="B452" s="884">
        <v>34242</v>
      </c>
      <c r="C452" s="884">
        <v>8406.8000000000011</v>
      </c>
      <c r="D452" s="884">
        <v>14279.099999999988</v>
      </c>
      <c r="E452" s="884">
        <v>4567.0000000000009</v>
      </c>
      <c r="F452" s="884">
        <v>6989.0999999999967</v>
      </c>
      <c r="G452" s="884">
        <v>-1268.5900000000001</v>
      </c>
    </row>
    <row r="453" spans="1:7">
      <c r="A453" s="883" t="str">
        <f t="shared" si="252"/>
        <v>LT III (A)</v>
      </c>
      <c r="B453" s="884">
        <v>31225.900000000005</v>
      </c>
      <c r="C453" s="884">
        <v>0</v>
      </c>
      <c r="D453" s="884">
        <v>0</v>
      </c>
      <c r="E453" s="884">
        <v>0</v>
      </c>
      <c r="F453" s="884">
        <v>0</v>
      </c>
      <c r="G453" s="884">
        <v>0</v>
      </c>
    </row>
    <row r="454" spans="1:7">
      <c r="A454" s="883" t="str">
        <f t="shared" si="252"/>
        <v>LT III (B)</v>
      </c>
      <c r="B454" s="884">
        <v>606996</v>
      </c>
      <c r="C454" s="884">
        <v>162884.60000000006</v>
      </c>
      <c r="D454" s="884">
        <v>248727.19999999998</v>
      </c>
      <c r="E454" s="884">
        <v>84774.199999999983</v>
      </c>
      <c r="F454" s="884">
        <v>110609.99999999999</v>
      </c>
      <c r="G454" s="884">
        <v>-54836.539999999994</v>
      </c>
    </row>
    <row r="455" spans="1:7" ht="15">
      <c r="A455" s="883"/>
      <c r="B455" s="893">
        <f t="shared" ref="B455:G455" si="253">SUM(B447:B454)</f>
        <v>7137482.5</v>
      </c>
      <c r="C455" s="893">
        <f t="shared" si="253"/>
        <v>1857513.5999999999</v>
      </c>
      <c r="D455" s="893">
        <f t="shared" si="253"/>
        <v>2925953.5000000005</v>
      </c>
      <c r="E455" s="893">
        <f t="shared" si="253"/>
        <v>1007599.0000000001</v>
      </c>
      <c r="F455" s="893">
        <f t="shared" si="253"/>
        <v>1305724.8999999999</v>
      </c>
      <c r="G455" s="893">
        <f t="shared" si="253"/>
        <v>-543893.80999999994</v>
      </c>
    </row>
    <row r="456" spans="1:7">
      <c r="A456" s="879"/>
      <c r="B456" s="879"/>
      <c r="C456" s="896"/>
      <c r="D456" s="896"/>
      <c r="E456" s="896"/>
      <c r="F456" s="896"/>
      <c r="G456" s="879"/>
    </row>
    <row r="457" spans="1:7" ht="15">
      <c r="A457" s="476" t="s">
        <v>771</v>
      </c>
      <c r="B457" s="890">
        <v>42614</v>
      </c>
      <c r="C457" s="891" t="s">
        <v>1068</v>
      </c>
      <c r="D457" s="891" t="s">
        <v>1069</v>
      </c>
      <c r="E457" s="891" t="s">
        <v>1070</v>
      </c>
      <c r="F457" s="891" t="s">
        <v>1071</v>
      </c>
      <c r="G457" s="897" t="str">
        <f>G446</f>
        <v>TOD Energy Charge</v>
      </c>
    </row>
    <row r="458" spans="1:7">
      <c r="A458" s="883" t="str">
        <f>A447</f>
        <v>HT I</v>
      </c>
      <c r="B458" s="884">
        <v>6068114</v>
      </c>
      <c r="C458" s="884">
        <v>1456217.7999999996</v>
      </c>
      <c r="D458" s="884">
        <v>2814893.8000000003</v>
      </c>
      <c r="E458" s="884">
        <v>788076.4</v>
      </c>
      <c r="F458" s="884">
        <v>1008925.9999999999</v>
      </c>
      <c r="G458" s="884">
        <v>-444046.9800000001</v>
      </c>
    </row>
    <row r="459" spans="1:7">
      <c r="A459" s="883" t="str">
        <f t="shared" ref="A459:A465" si="254">A448</f>
        <v>HTII</v>
      </c>
      <c r="B459" s="884">
        <v>0</v>
      </c>
      <c r="C459" s="884">
        <v>0</v>
      </c>
      <c r="D459" s="884">
        <v>0</v>
      </c>
      <c r="E459" s="884">
        <v>0</v>
      </c>
      <c r="F459" s="884">
        <v>0</v>
      </c>
      <c r="G459" s="884">
        <v>0</v>
      </c>
    </row>
    <row r="460" spans="1:7">
      <c r="A460" s="883"/>
      <c r="B460" s="884"/>
      <c r="C460" s="884"/>
      <c r="D460" s="884"/>
      <c r="E460" s="884"/>
      <c r="F460" s="884"/>
      <c r="G460" s="884"/>
    </row>
    <row r="461" spans="1:7">
      <c r="A461" s="883" t="str">
        <f t="shared" si="254"/>
        <v>LT I (G-P)</v>
      </c>
      <c r="B461" s="884">
        <v>0</v>
      </c>
      <c r="C461" s="884">
        <v>0</v>
      </c>
      <c r="D461" s="884">
        <v>0</v>
      </c>
      <c r="E461" s="884">
        <v>0</v>
      </c>
      <c r="F461" s="884">
        <v>0</v>
      </c>
      <c r="G461" s="884">
        <v>0</v>
      </c>
    </row>
    <row r="462" spans="1:7">
      <c r="A462" s="883" t="str">
        <f t="shared" si="254"/>
        <v>LT II (A)</v>
      </c>
      <c r="B462" s="884">
        <v>9298</v>
      </c>
      <c r="C462" s="884">
        <v>0</v>
      </c>
      <c r="D462" s="884">
        <v>0</v>
      </c>
      <c r="E462" s="884">
        <v>0</v>
      </c>
      <c r="F462" s="884">
        <v>0</v>
      </c>
      <c r="G462" s="884">
        <v>0</v>
      </c>
    </row>
    <row r="463" spans="1:7">
      <c r="A463" s="883" t="str">
        <f t="shared" si="254"/>
        <v>LT II (B)</v>
      </c>
      <c r="B463" s="884">
        <v>35654.300000000003</v>
      </c>
      <c r="C463" s="884">
        <v>7786.3</v>
      </c>
      <c r="D463" s="884">
        <v>16300.2</v>
      </c>
      <c r="E463" s="884">
        <v>4352.7</v>
      </c>
      <c r="F463" s="884">
        <v>7215.1</v>
      </c>
      <c r="G463" s="884">
        <v>-260.68</v>
      </c>
    </row>
    <row r="464" spans="1:7">
      <c r="A464" s="883" t="str">
        <f t="shared" si="254"/>
        <v>LT III (A)</v>
      </c>
      <c r="B464" s="884">
        <v>30342</v>
      </c>
      <c r="C464" s="884">
        <v>0</v>
      </c>
      <c r="D464" s="884">
        <v>0</v>
      </c>
      <c r="E464" s="884">
        <v>0</v>
      </c>
      <c r="F464" s="884">
        <v>0</v>
      </c>
      <c r="G464" s="884">
        <v>0</v>
      </c>
    </row>
    <row r="465" spans="1:7">
      <c r="A465" s="883" t="str">
        <f t="shared" si="254"/>
        <v>LT III (B)</v>
      </c>
      <c r="B465" s="884">
        <v>577943</v>
      </c>
      <c r="C465" s="884">
        <v>141925.20000000004</v>
      </c>
      <c r="D465" s="884">
        <v>270139</v>
      </c>
      <c r="E465" s="884">
        <v>72171.400000000023</v>
      </c>
      <c r="F465" s="884">
        <v>93707.400000000023</v>
      </c>
      <c r="G465" s="884">
        <v>-52072.539999999994</v>
      </c>
    </row>
    <row r="466" spans="1:7" ht="15">
      <c r="A466" s="883"/>
      <c r="B466" s="893">
        <f>SUM(B458:B465)</f>
        <v>6721351.2999999998</v>
      </c>
      <c r="C466" s="893">
        <f t="shared" ref="C466:G466" si="255">SUM(C458:C465)</f>
        <v>1605929.2999999996</v>
      </c>
      <c r="D466" s="893">
        <f t="shared" si="255"/>
        <v>3101333.0000000005</v>
      </c>
      <c r="E466" s="893">
        <f t="shared" si="255"/>
        <v>864600.5</v>
      </c>
      <c r="F466" s="893">
        <f t="shared" si="255"/>
        <v>1109848.5</v>
      </c>
      <c r="G466" s="893">
        <f t="shared" si="255"/>
        <v>-496380.20000000007</v>
      </c>
    </row>
    <row r="467" spans="1:7">
      <c r="A467" s="879"/>
      <c r="B467" s="879"/>
      <c r="C467" s="896"/>
      <c r="D467" s="896"/>
      <c r="E467" s="896"/>
      <c r="F467" s="896"/>
      <c r="G467" s="879"/>
    </row>
    <row r="468" spans="1:7" ht="15">
      <c r="A468" s="476" t="s">
        <v>771</v>
      </c>
      <c r="B468" s="890">
        <v>42644</v>
      </c>
      <c r="C468" s="891" t="s">
        <v>1068</v>
      </c>
      <c r="D468" s="891" t="s">
        <v>1069</v>
      </c>
      <c r="E468" s="891" t="s">
        <v>1070</v>
      </c>
      <c r="F468" s="891" t="s">
        <v>1071</v>
      </c>
      <c r="G468" s="897" t="str">
        <f>G457</f>
        <v>TOD Energy Charge</v>
      </c>
    </row>
    <row r="469" spans="1:7">
      <c r="A469" s="883" t="str">
        <f>A458</f>
        <v>HT I</v>
      </c>
      <c r="B469" s="884">
        <v>6103869</v>
      </c>
      <c r="C469" s="884">
        <v>1768699</v>
      </c>
      <c r="D469" s="884">
        <v>2153501</v>
      </c>
      <c r="E469" s="884">
        <v>957961.2</v>
      </c>
      <c r="F469" s="884">
        <v>1223707.7999999998</v>
      </c>
      <c r="G469" s="884">
        <v>-540600.95999999985</v>
      </c>
    </row>
    <row r="470" spans="1:7">
      <c r="A470" s="883" t="str">
        <f t="shared" ref="A470:A476" si="256">A459</f>
        <v>HTII</v>
      </c>
      <c r="B470" s="884">
        <v>0</v>
      </c>
      <c r="C470" s="884">
        <v>0</v>
      </c>
      <c r="D470" s="884">
        <v>0</v>
      </c>
      <c r="E470" s="884">
        <v>0</v>
      </c>
      <c r="F470" s="884">
        <v>0</v>
      </c>
      <c r="G470" s="884">
        <v>0</v>
      </c>
    </row>
    <row r="471" spans="1:7">
      <c r="A471" s="883"/>
      <c r="B471" s="884"/>
      <c r="C471" s="884"/>
      <c r="D471" s="884"/>
      <c r="E471" s="884"/>
      <c r="F471" s="884"/>
      <c r="G471" s="884"/>
    </row>
    <row r="472" spans="1:7">
      <c r="A472" s="883" t="str">
        <f t="shared" si="256"/>
        <v>LT I (G-P)</v>
      </c>
      <c r="B472" s="884">
        <v>0</v>
      </c>
      <c r="C472" s="884">
        <v>0</v>
      </c>
      <c r="D472" s="884">
        <v>0</v>
      </c>
      <c r="E472" s="884">
        <v>0</v>
      </c>
      <c r="F472" s="884">
        <v>0</v>
      </c>
      <c r="G472" s="884">
        <v>0</v>
      </c>
    </row>
    <row r="473" spans="1:7">
      <c r="A473" s="883" t="str">
        <f t="shared" si="256"/>
        <v>LT II (A)</v>
      </c>
      <c r="B473" s="884">
        <v>42045.999999999993</v>
      </c>
      <c r="C473" s="884">
        <v>0</v>
      </c>
      <c r="D473" s="884">
        <v>0</v>
      </c>
      <c r="E473" s="884">
        <v>0</v>
      </c>
      <c r="F473" s="884">
        <v>0</v>
      </c>
      <c r="G473" s="884">
        <v>0</v>
      </c>
    </row>
    <row r="474" spans="1:7">
      <c r="A474" s="883" t="str">
        <f t="shared" si="256"/>
        <v>LT II (B)</v>
      </c>
      <c r="B474" s="884">
        <v>46119.5</v>
      </c>
      <c r="C474" s="884">
        <v>11084.140000000001</v>
      </c>
      <c r="D474" s="884">
        <v>18059.34</v>
      </c>
      <c r="E474" s="884">
        <v>7078.26</v>
      </c>
      <c r="F474" s="884">
        <v>9897.76</v>
      </c>
      <c r="G474" s="884">
        <v>-76.060000000000173</v>
      </c>
    </row>
    <row r="475" spans="1:7">
      <c r="A475" s="883" t="str">
        <f t="shared" si="256"/>
        <v>LT III (A)</v>
      </c>
      <c r="B475" s="884">
        <v>714.8</v>
      </c>
      <c r="C475" s="884">
        <v>0</v>
      </c>
      <c r="D475" s="884">
        <v>0</v>
      </c>
      <c r="E475" s="884">
        <v>0</v>
      </c>
      <c r="F475" s="884">
        <v>0</v>
      </c>
      <c r="G475" s="884">
        <v>0</v>
      </c>
    </row>
    <row r="476" spans="1:7">
      <c r="A476" s="883" t="str">
        <f t="shared" si="256"/>
        <v>LT III (B)</v>
      </c>
      <c r="B476" s="884">
        <v>593859</v>
      </c>
      <c r="C476" s="884">
        <v>174177.59999999992</v>
      </c>
      <c r="D476" s="884">
        <v>205310.80000000002</v>
      </c>
      <c r="E476" s="884">
        <v>96557.4</v>
      </c>
      <c r="F476" s="884">
        <v>117813.19999999997</v>
      </c>
      <c r="G476" s="884">
        <v>-54425.96</v>
      </c>
    </row>
    <row r="477" spans="1:7" ht="15">
      <c r="A477" s="883"/>
      <c r="B477" s="893">
        <f t="shared" ref="B477:G477" si="257">SUM(B469:B476)</f>
        <v>6786608.2999999998</v>
      </c>
      <c r="C477" s="893">
        <f t="shared" si="257"/>
        <v>1953960.7399999998</v>
      </c>
      <c r="D477" s="893">
        <f t="shared" si="257"/>
        <v>2376871.1399999997</v>
      </c>
      <c r="E477" s="893">
        <f t="shared" si="257"/>
        <v>1061596.8599999999</v>
      </c>
      <c r="F477" s="893">
        <f t="shared" si="257"/>
        <v>1351418.7599999998</v>
      </c>
      <c r="G477" s="893">
        <f t="shared" si="257"/>
        <v>-595102.97999999986</v>
      </c>
    </row>
    <row r="478" spans="1:7">
      <c r="A478" s="879"/>
      <c r="B478" s="879"/>
      <c r="C478" s="879"/>
      <c r="D478" s="879"/>
      <c r="E478" s="879"/>
      <c r="F478" s="879"/>
      <c r="G478" s="879"/>
    </row>
    <row r="479" spans="1:7" ht="15">
      <c r="A479" s="476" t="s">
        <v>771</v>
      </c>
      <c r="B479" s="890">
        <v>42675</v>
      </c>
      <c r="C479" s="891" t="s">
        <v>1068</v>
      </c>
      <c r="D479" s="891" t="s">
        <v>1069</v>
      </c>
      <c r="E479" s="891" t="s">
        <v>1070</v>
      </c>
      <c r="F479" s="891" t="s">
        <v>1071</v>
      </c>
      <c r="G479" s="897" t="str">
        <f>G468</f>
        <v>TOD Energy Charge</v>
      </c>
    </row>
    <row r="480" spans="1:7">
      <c r="A480" s="883" t="str">
        <f>A469</f>
        <v>HT I</v>
      </c>
      <c r="B480" s="898">
        <v>5737032</v>
      </c>
      <c r="C480" s="898">
        <v>1521138.1200000003</v>
      </c>
      <c r="D480" s="898">
        <v>2330656.31</v>
      </c>
      <c r="E480" s="898">
        <v>772066.29999999993</v>
      </c>
      <c r="F480" s="898">
        <v>1113171.2700000003</v>
      </c>
      <c r="G480" s="898">
        <v>-439565.75</v>
      </c>
    </row>
    <row r="481" spans="1:7">
      <c r="A481" s="883" t="str">
        <f t="shared" ref="A481:A487" si="258">A470</f>
        <v>HTII</v>
      </c>
      <c r="B481" s="898">
        <v>0</v>
      </c>
      <c r="C481" s="898">
        <v>0</v>
      </c>
      <c r="D481" s="898">
        <v>0</v>
      </c>
      <c r="E481" s="898">
        <v>0</v>
      </c>
      <c r="F481" s="898">
        <v>0</v>
      </c>
      <c r="G481" s="898">
        <v>0</v>
      </c>
    </row>
    <row r="482" spans="1:7">
      <c r="A482" s="883"/>
      <c r="B482" s="898"/>
      <c r="C482" s="898"/>
      <c r="D482" s="898"/>
      <c r="E482" s="898"/>
      <c r="F482" s="898"/>
      <c r="G482" s="898"/>
    </row>
    <row r="483" spans="1:7">
      <c r="A483" s="883" t="str">
        <f t="shared" si="258"/>
        <v>LT I (G-P)</v>
      </c>
      <c r="B483" s="898">
        <v>0</v>
      </c>
      <c r="C483" s="898">
        <v>0</v>
      </c>
      <c r="D483" s="898">
        <v>0</v>
      </c>
      <c r="E483" s="898">
        <v>0</v>
      </c>
      <c r="F483" s="898">
        <v>0</v>
      </c>
      <c r="G483" s="898">
        <v>0</v>
      </c>
    </row>
    <row r="484" spans="1:7">
      <c r="A484" s="883" t="str">
        <f t="shared" si="258"/>
        <v>LT II (A)</v>
      </c>
      <c r="B484" s="898">
        <v>41516</v>
      </c>
      <c r="C484" s="898">
        <v>0</v>
      </c>
      <c r="D484" s="898">
        <v>0</v>
      </c>
      <c r="E484" s="898">
        <v>0</v>
      </c>
      <c r="F484" s="898">
        <v>0</v>
      </c>
      <c r="G484" s="898">
        <v>0</v>
      </c>
    </row>
    <row r="485" spans="1:7">
      <c r="A485" s="883" t="str">
        <f t="shared" si="258"/>
        <v>LT II (B)</v>
      </c>
      <c r="B485" s="898">
        <v>44701.3</v>
      </c>
      <c r="C485" s="898">
        <v>11827.490000000002</v>
      </c>
      <c r="D485" s="898">
        <v>17971.97</v>
      </c>
      <c r="E485" s="898">
        <v>6173.2000000000025</v>
      </c>
      <c r="F485" s="898">
        <v>8728.64</v>
      </c>
      <c r="G485" s="898">
        <v>-3201.1800000000003</v>
      </c>
    </row>
    <row r="486" spans="1:7">
      <c r="A486" s="883" t="str">
        <f t="shared" si="258"/>
        <v>LT III (A)</v>
      </c>
      <c r="B486" s="898">
        <v>825</v>
      </c>
      <c r="C486" s="898">
        <v>0</v>
      </c>
      <c r="D486" s="898">
        <v>0</v>
      </c>
      <c r="E486" s="904">
        <v>0</v>
      </c>
      <c r="F486" s="898">
        <v>0</v>
      </c>
      <c r="G486" s="898">
        <v>0</v>
      </c>
    </row>
    <row r="487" spans="1:7">
      <c r="A487" s="883" t="str">
        <f t="shared" si="258"/>
        <v>LT III (B)</v>
      </c>
      <c r="B487" s="898">
        <v>560448</v>
      </c>
      <c r="C487" s="898">
        <v>148869.39999999997</v>
      </c>
      <c r="D487" s="898">
        <v>229643.27</v>
      </c>
      <c r="E487" s="898">
        <v>76308.179999999993</v>
      </c>
      <c r="F487" s="898">
        <v>105627.15</v>
      </c>
      <c r="G487" s="898">
        <v>-46067.69</v>
      </c>
    </row>
    <row r="488" spans="1:7" ht="15">
      <c r="A488" s="883"/>
      <c r="B488" s="899">
        <f>SUM(B480:B487)</f>
        <v>6384522.2999999998</v>
      </c>
      <c r="C488" s="899">
        <f t="shared" ref="C488:G488" si="259">SUM(C480:C487)</f>
        <v>1681835.0100000002</v>
      </c>
      <c r="D488" s="899">
        <f t="shared" si="259"/>
        <v>2578271.5500000003</v>
      </c>
      <c r="E488" s="899">
        <f t="shared" si="259"/>
        <v>854547.67999999993</v>
      </c>
      <c r="F488" s="899">
        <f t="shared" si="259"/>
        <v>1227527.06</v>
      </c>
      <c r="G488" s="899">
        <f t="shared" si="259"/>
        <v>-488834.62</v>
      </c>
    </row>
    <row r="489" spans="1:7">
      <c r="A489" s="879"/>
      <c r="B489" s="879"/>
      <c r="C489" s="896"/>
      <c r="D489" s="896"/>
      <c r="E489" s="896"/>
      <c r="F489" s="896"/>
      <c r="G489" s="879"/>
    </row>
    <row r="490" spans="1:7" ht="15">
      <c r="A490" s="476" t="s">
        <v>771</v>
      </c>
      <c r="B490" s="890">
        <v>42705</v>
      </c>
      <c r="C490" s="891" t="s">
        <v>1068</v>
      </c>
      <c r="D490" s="891" t="s">
        <v>1069</v>
      </c>
      <c r="E490" s="891" t="s">
        <v>1070</v>
      </c>
      <c r="F490" s="891" t="s">
        <v>1071</v>
      </c>
      <c r="G490" s="897" t="str">
        <f>G479</f>
        <v>TOD Energy Charge</v>
      </c>
    </row>
    <row r="491" spans="1:7">
      <c r="A491" s="883" t="str">
        <f>A480</f>
        <v>HT I</v>
      </c>
      <c r="B491" s="898">
        <v>5861570</v>
      </c>
      <c r="C491" s="898">
        <v>1770246.9999999998</v>
      </c>
      <c r="D491" s="898">
        <v>2263500</v>
      </c>
      <c r="E491" s="898">
        <v>775149</v>
      </c>
      <c r="F491" s="898">
        <v>1052674</v>
      </c>
      <c r="G491" s="898">
        <v>-877309.90000000014</v>
      </c>
    </row>
    <row r="492" spans="1:7">
      <c r="A492" s="883" t="str">
        <f t="shared" ref="A492:A498" si="260">A481</f>
        <v>HTII</v>
      </c>
      <c r="B492" s="898">
        <v>0</v>
      </c>
      <c r="C492" s="898">
        <v>0</v>
      </c>
      <c r="D492" s="898">
        <v>0</v>
      </c>
      <c r="E492" s="898">
        <v>0</v>
      </c>
      <c r="F492" s="898">
        <v>0</v>
      </c>
      <c r="G492" s="898">
        <v>0</v>
      </c>
    </row>
    <row r="493" spans="1:7">
      <c r="A493" s="883"/>
      <c r="B493" s="898"/>
      <c r="C493" s="898"/>
      <c r="D493" s="898"/>
      <c r="E493" s="898"/>
      <c r="F493" s="898"/>
      <c r="G493" s="898"/>
    </row>
    <row r="494" spans="1:7">
      <c r="A494" s="883" t="str">
        <f t="shared" si="260"/>
        <v>LT I (G-P)</v>
      </c>
      <c r="B494" s="898">
        <v>0</v>
      </c>
      <c r="C494" s="898">
        <v>0</v>
      </c>
      <c r="D494" s="898">
        <v>0</v>
      </c>
      <c r="E494" s="898">
        <v>0</v>
      </c>
      <c r="F494" s="898">
        <v>0</v>
      </c>
      <c r="G494" s="898">
        <v>0</v>
      </c>
    </row>
    <row r="495" spans="1:7">
      <c r="A495" s="883" t="str">
        <f t="shared" si="260"/>
        <v>LT II (A)</v>
      </c>
      <c r="B495" s="898">
        <v>43755.7</v>
      </c>
      <c r="C495" s="898">
        <v>0</v>
      </c>
      <c r="D495" s="898">
        <v>0</v>
      </c>
      <c r="E495" s="898">
        <v>0</v>
      </c>
      <c r="F495" s="898">
        <v>0</v>
      </c>
      <c r="G495" s="898">
        <v>0</v>
      </c>
    </row>
    <row r="496" spans="1:7">
      <c r="A496" s="883" t="str">
        <f t="shared" si="260"/>
        <v>LT II (B)</v>
      </c>
      <c r="B496" s="898">
        <v>47200.5</v>
      </c>
      <c r="C496" s="898">
        <v>12539.599999999995</v>
      </c>
      <c r="D496" s="898">
        <v>19414.899999999994</v>
      </c>
      <c r="E496" s="898">
        <v>6343.6999999999971</v>
      </c>
      <c r="F496" s="898">
        <v>8902.3000000000011</v>
      </c>
      <c r="G496" s="898">
        <v>-3941.9100000000003</v>
      </c>
    </row>
    <row r="497" spans="1:7">
      <c r="A497" s="883" t="str">
        <f t="shared" si="260"/>
        <v>LT III (A)</v>
      </c>
      <c r="B497" s="898">
        <v>685.3</v>
      </c>
      <c r="C497" s="898">
        <v>0</v>
      </c>
      <c r="D497" s="898">
        <v>0</v>
      </c>
      <c r="E497" s="898">
        <v>0</v>
      </c>
      <c r="F497" s="898">
        <v>0</v>
      </c>
      <c r="G497" s="898">
        <v>0</v>
      </c>
    </row>
    <row r="498" spans="1:7">
      <c r="A498" s="883" t="str">
        <f t="shared" si="260"/>
        <v>LT III (B)</v>
      </c>
      <c r="B498" s="898">
        <v>574174</v>
      </c>
      <c r="C498" s="898">
        <v>173069.59999999998</v>
      </c>
      <c r="D498" s="898">
        <v>222511.59999999992</v>
      </c>
      <c r="E498" s="898">
        <v>77197.2</v>
      </c>
      <c r="F498" s="898">
        <v>101395.60000000002</v>
      </c>
      <c r="G498" s="898">
        <v>-86311.479999999981</v>
      </c>
    </row>
    <row r="499" spans="1:7" ht="15">
      <c r="A499" s="883"/>
      <c r="B499" s="899">
        <f>SUM(B491:B498)</f>
        <v>6527385.5</v>
      </c>
      <c r="C499" s="899">
        <f t="shared" ref="C499:G499" si="261">SUM(C491:C498)</f>
        <v>1955856.1999999997</v>
      </c>
      <c r="D499" s="899">
        <f t="shared" si="261"/>
        <v>2505426.5</v>
      </c>
      <c r="E499" s="899">
        <f t="shared" si="261"/>
        <v>858689.89999999991</v>
      </c>
      <c r="F499" s="899">
        <f t="shared" si="261"/>
        <v>1162971.9000000001</v>
      </c>
      <c r="G499" s="899">
        <f t="shared" si="261"/>
        <v>-967563.29000000015</v>
      </c>
    </row>
    <row r="500" spans="1:7">
      <c r="A500" s="879"/>
      <c r="B500" s="879"/>
      <c r="C500" s="896"/>
      <c r="D500" s="896"/>
      <c r="E500" s="896"/>
      <c r="F500" s="896"/>
      <c r="G500" s="879"/>
    </row>
    <row r="501" spans="1:7" ht="15">
      <c r="A501" s="476" t="s">
        <v>771</v>
      </c>
      <c r="B501" s="890">
        <v>42736</v>
      </c>
      <c r="C501" s="891" t="s">
        <v>1068</v>
      </c>
      <c r="D501" s="891" t="s">
        <v>1069</v>
      </c>
      <c r="E501" s="891" t="s">
        <v>1070</v>
      </c>
      <c r="F501" s="891" t="s">
        <v>1071</v>
      </c>
      <c r="G501" s="897" t="str">
        <f>G490</f>
        <v>TOD Energy Charge</v>
      </c>
    </row>
    <row r="502" spans="1:7">
      <c r="A502" s="883" t="str">
        <f>A491</f>
        <v>HT I</v>
      </c>
      <c r="B502" s="898">
        <v>5648620</v>
      </c>
      <c r="C502" s="898">
        <v>1522921.99</v>
      </c>
      <c r="D502" s="898">
        <v>2280889.61</v>
      </c>
      <c r="E502" s="898">
        <v>792691.33000000007</v>
      </c>
      <c r="F502" s="898">
        <v>1052117.07</v>
      </c>
      <c r="G502" s="898">
        <v>-492901.1399999999</v>
      </c>
    </row>
    <row r="503" spans="1:7">
      <c r="A503" s="883" t="str">
        <f t="shared" ref="A503:A509" si="262">A492</f>
        <v>HTII</v>
      </c>
      <c r="B503" s="898">
        <v>0</v>
      </c>
      <c r="C503" s="898"/>
      <c r="D503" s="898"/>
      <c r="E503" s="898"/>
      <c r="F503" s="898"/>
      <c r="G503" s="898"/>
    </row>
    <row r="504" spans="1:7">
      <c r="A504" s="883"/>
      <c r="B504" s="898"/>
      <c r="C504" s="898"/>
      <c r="D504" s="898"/>
      <c r="E504" s="898"/>
      <c r="F504" s="898"/>
      <c r="G504" s="898"/>
    </row>
    <row r="505" spans="1:7">
      <c r="A505" s="883" t="str">
        <f t="shared" si="262"/>
        <v>LT I (G-P)</v>
      </c>
      <c r="B505" s="898">
        <v>0</v>
      </c>
      <c r="C505" s="898"/>
      <c r="D505" s="898"/>
      <c r="E505" s="898"/>
      <c r="F505" s="898"/>
      <c r="G505" s="898"/>
    </row>
    <row r="506" spans="1:7">
      <c r="A506" s="883" t="str">
        <f t="shared" si="262"/>
        <v>LT II (A)</v>
      </c>
      <c r="B506" s="898">
        <v>44017.1</v>
      </c>
      <c r="C506" s="898">
        <v>0</v>
      </c>
      <c r="D506" s="898">
        <v>0</v>
      </c>
      <c r="E506" s="898">
        <v>0</v>
      </c>
      <c r="F506" s="898">
        <v>0</v>
      </c>
      <c r="G506" s="898">
        <v>0</v>
      </c>
    </row>
    <row r="507" spans="1:7">
      <c r="A507" s="883" t="str">
        <f t="shared" si="262"/>
        <v>LT II (B)</v>
      </c>
      <c r="B507" s="898">
        <v>48232</v>
      </c>
      <c r="C507" s="898">
        <v>12156.7</v>
      </c>
      <c r="D507" s="898">
        <v>20206</v>
      </c>
      <c r="E507" s="898">
        <v>6702.5</v>
      </c>
      <c r="F507" s="898">
        <v>9166.7999999999993</v>
      </c>
      <c r="G507" s="898">
        <v>-2789.5699999999997</v>
      </c>
    </row>
    <row r="508" spans="1:7">
      <c r="A508" s="883" t="str">
        <f t="shared" si="262"/>
        <v>LT III (A)</v>
      </c>
      <c r="B508" s="898">
        <v>637.1</v>
      </c>
      <c r="C508" s="898">
        <v>0</v>
      </c>
      <c r="D508" s="898">
        <v>0</v>
      </c>
      <c r="E508" s="898">
        <v>0</v>
      </c>
      <c r="F508" s="898">
        <v>0</v>
      </c>
      <c r="G508" s="898">
        <v>0</v>
      </c>
    </row>
    <row r="509" spans="1:7">
      <c r="A509" s="883" t="str">
        <f t="shared" si="262"/>
        <v>LT III (B)</v>
      </c>
      <c r="B509" s="898">
        <v>562696</v>
      </c>
      <c r="C509" s="898">
        <v>151904.4</v>
      </c>
      <c r="D509" s="898">
        <v>227358</v>
      </c>
      <c r="E509" s="898">
        <v>80978</v>
      </c>
      <c r="F509" s="898">
        <v>102455.6</v>
      </c>
      <c r="G509" s="898">
        <v>-50373.039999999994</v>
      </c>
    </row>
    <row r="510" spans="1:7" ht="15">
      <c r="A510" s="883"/>
      <c r="B510" s="899">
        <f>SUM(B502:B509)</f>
        <v>6304202.1999999993</v>
      </c>
      <c r="C510" s="899">
        <f t="shared" ref="C510:G510" si="263">SUM(C502:C509)</f>
        <v>1686983.0899999999</v>
      </c>
      <c r="D510" s="899">
        <f t="shared" si="263"/>
        <v>2528453.61</v>
      </c>
      <c r="E510" s="899">
        <f t="shared" si="263"/>
        <v>880371.83000000007</v>
      </c>
      <c r="F510" s="899">
        <f t="shared" si="263"/>
        <v>1163739.4700000002</v>
      </c>
      <c r="G510" s="899">
        <f t="shared" si="263"/>
        <v>-546063.74999999988</v>
      </c>
    </row>
    <row r="511" spans="1:7">
      <c r="A511" s="879"/>
      <c r="B511" s="879"/>
      <c r="C511" s="896"/>
      <c r="D511" s="896"/>
      <c r="E511" s="896"/>
      <c r="F511" s="896"/>
      <c r="G511" s="879"/>
    </row>
    <row r="512" spans="1:7" ht="15">
      <c r="A512" s="476" t="s">
        <v>771</v>
      </c>
      <c r="B512" s="890">
        <v>42767</v>
      </c>
      <c r="C512" s="891" t="s">
        <v>1068</v>
      </c>
      <c r="D512" s="891" t="s">
        <v>1069</v>
      </c>
      <c r="E512" s="891" t="s">
        <v>1070</v>
      </c>
      <c r="F512" s="891" t="s">
        <v>1071</v>
      </c>
      <c r="G512" s="897" t="str">
        <f>G501</f>
        <v>TOD Energy Charge</v>
      </c>
    </row>
    <row r="513" spans="1:7">
      <c r="A513" s="883" t="str">
        <f>A502</f>
        <v>HT I</v>
      </c>
      <c r="B513" s="884">
        <v>5463801.5999999996</v>
      </c>
      <c r="C513" s="884">
        <v>1441213.87</v>
      </c>
      <c r="D513" s="884">
        <v>2258803.5099999998</v>
      </c>
      <c r="E513" s="884">
        <v>738844.86</v>
      </c>
      <c r="F513" s="884">
        <v>1024939.36</v>
      </c>
      <c r="G513" s="884">
        <v>-443311.62</v>
      </c>
    </row>
    <row r="514" spans="1:7">
      <c r="A514" s="883" t="str">
        <f t="shared" ref="A514:A520" si="264">A503</f>
        <v>HTII</v>
      </c>
      <c r="B514" s="884">
        <v>0</v>
      </c>
      <c r="C514" s="884">
        <v>0</v>
      </c>
      <c r="D514" s="884">
        <v>0</v>
      </c>
      <c r="E514" s="884">
        <v>0</v>
      </c>
      <c r="F514" s="884">
        <v>0</v>
      </c>
      <c r="G514" s="884">
        <v>0</v>
      </c>
    </row>
    <row r="515" spans="1:7">
      <c r="A515" s="883"/>
      <c r="B515" s="884"/>
      <c r="C515" s="884"/>
      <c r="D515" s="884"/>
      <c r="E515" s="884"/>
      <c r="F515" s="884"/>
      <c r="G515" s="884"/>
    </row>
    <row r="516" spans="1:7">
      <c r="A516" s="883" t="str">
        <f t="shared" si="264"/>
        <v>LT I (G-P)</v>
      </c>
      <c r="B516" s="884">
        <v>0</v>
      </c>
      <c r="C516" s="884">
        <v>0</v>
      </c>
      <c r="D516" s="884">
        <v>0</v>
      </c>
      <c r="E516" s="884">
        <v>0</v>
      </c>
      <c r="F516" s="884">
        <v>0</v>
      </c>
      <c r="G516" s="884">
        <v>0</v>
      </c>
    </row>
    <row r="517" spans="1:7">
      <c r="A517" s="883" t="str">
        <f t="shared" si="264"/>
        <v>LT II (A)</v>
      </c>
      <c r="B517" s="884">
        <v>39927.379999999997</v>
      </c>
      <c r="C517" s="884">
        <v>0</v>
      </c>
      <c r="D517" s="884">
        <v>0</v>
      </c>
      <c r="E517" s="884">
        <v>0</v>
      </c>
      <c r="F517" s="884">
        <v>0</v>
      </c>
      <c r="G517" s="884">
        <v>0</v>
      </c>
    </row>
    <row r="518" spans="1:7">
      <c r="A518" s="883" t="str">
        <f t="shared" si="264"/>
        <v>LT II (B)</v>
      </c>
      <c r="B518" s="884">
        <v>44966.8</v>
      </c>
      <c r="C518" s="884">
        <v>11343.2</v>
      </c>
      <c r="D518" s="884">
        <v>18910.900000000001</v>
      </c>
      <c r="E518" s="884">
        <v>6222</v>
      </c>
      <c r="F518" s="884">
        <v>8490.7000000000007</v>
      </c>
      <c r="G518" s="884">
        <v>-2697.4300000000003</v>
      </c>
    </row>
    <row r="519" spans="1:7">
      <c r="A519" s="883" t="str">
        <f t="shared" si="264"/>
        <v>LT III (A)</v>
      </c>
      <c r="B519" s="884">
        <v>594.1</v>
      </c>
      <c r="C519" s="884">
        <v>0</v>
      </c>
      <c r="D519" s="884">
        <v>0</v>
      </c>
      <c r="E519" s="884">
        <v>0</v>
      </c>
      <c r="F519" s="884">
        <v>0</v>
      </c>
      <c r="G519" s="884">
        <v>0</v>
      </c>
    </row>
    <row r="520" spans="1:7">
      <c r="A520" s="883" t="str">
        <f t="shared" si="264"/>
        <v>LT III (B)</v>
      </c>
      <c r="B520" s="884">
        <v>532300.57000000007</v>
      </c>
      <c r="C520" s="884">
        <v>142828</v>
      </c>
      <c r="D520" s="884">
        <v>217804.57</v>
      </c>
      <c r="E520" s="884">
        <v>74040</v>
      </c>
      <c r="F520" s="884">
        <v>97628</v>
      </c>
      <c r="G520" s="884">
        <v>-47619.199999999997</v>
      </c>
    </row>
    <row r="521" spans="1:7" ht="15">
      <c r="A521" s="883"/>
      <c r="B521" s="893">
        <f>SUM(B513:B520)</f>
        <v>6081590.4499999993</v>
      </c>
      <c r="C521" s="893">
        <f t="shared" ref="C521:G521" si="265">SUM(C513:C520)</f>
        <v>1595385.07</v>
      </c>
      <c r="D521" s="893">
        <f t="shared" si="265"/>
        <v>2495518.9799999995</v>
      </c>
      <c r="E521" s="893">
        <f t="shared" si="265"/>
        <v>819106.86</v>
      </c>
      <c r="F521" s="893">
        <f t="shared" si="265"/>
        <v>1131058.06</v>
      </c>
      <c r="G521" s="893">
        <f t="shared" si="265"/>
        <v>-493628.25</v>
      </c>
    </row>
    <row r="522" spans="1:7">
      <c r="A522" s="879"/>
      <c r="B522" s="879"/>
      <c r="C522" s="896"/>
      <c r="D522" s="896"/>
      <c r="E522" s="896"/>
      <c r="F522" s="896"/>
      <c r="G522" s="879"/>
    </row>
    <row r="523" spans="1:7" ht="15">
      <c r="A523" s="476" t="s">
        <v>771</v>
      </c>
      <c r="B523" s="890">
        <v>42795</v>
      </c>
      <c r="C523" s="891" t="s">
        <v>1068</v>
      </c>
      <c r="D523" s="891" t="s">
        <v>1069</v>
      </c>
      <c r="E523" s="891" t="s">
        <v>1070</v>
      </c>
      <c r="F523" s="891" t="s">
        <v>1071</v>
      </c>
      <c r="G523" s="897" t="str">
        <f>G512</f>
        <v>TOD Energy Charge</v>
      </c>
    </row>
    <row r="524" spans="1:7">
      <c r="A524" s="883" t="str">
        <f>A513</f>
        <v>HT I</v>
      </c>
      <c r="B524" s="884">
        <v>6495053.3900000006</v>
      </c>
      <c r="C524" s="884">
        <v>1770386.1400000001</v>
      </c>
      <c r="D524" s="884">
        <v>2524425.92</v>
      </c>
      <c r="E524" s="884">
        <v>996322.47</v>
      </c>
      <c r="F524" s="884">
        <v>1203918.8599999999</v>
      </c>
      <c r="G524" s="884">
        <v>-534210.49000000011</v>
      </c>
    </row>
    <row r="525" spans="1:7">
      <c r="A525" s="883" t="str">
        <f t="shared" ref="A525:A531" si="266">A514</f>
        <v>HTII</v>
      </c>
      <c r="B525" s="884">
        <v>0</v>
      </c>
      <c r="C525" s="884">
        <v>0</v>
      </c>
      <c r="D525" s="884">
        <v>0</v>
      </c>
      <c r="E525" s="884">
        <v>0</v>
      </c>
      <c r="F525" s="884">
        <v>0</v>
      </c>
      <c r="G525" s="884">
        <v>0</v>
      </c>
    </row>
    <row r="526" spans="1:7">
      <c r="A526" s="883"/>
      <c r="B526" s="884"/>
      <c r="C526" s="884"/>
      <c r="D526" s="884"/>
      <c r="E526" s="884"/>
      <c r="F526" s="884"/>
      <c r="G526" s="884"/>
    </row>
    <row r="527" spans="1:7">
      <c r="A527" s="883" t="str">
        <f t="shared" si="266"/>
        <v>LT I (G-P)</v>
      </c>
      <c r="B527" s="884">
        <v>0</v>
      </c>
      <c r="C527" s="884">
        <v>0</v>
      </c>
      <c r="D527" s="884">
        <v>0</v>
      </c>
      <c r="E527" s="884">
        <v>0</v>
      </c>
      <c r="F527" s="884">
        <v>0</v>
      </c>
      <c r="G527" s="884">
        <v>0</v>
      </c>
    </row>
    <row r="528" spans="1:7">
      <c r="A528" s="883" t="str">
        <f t="shared" si="266"/>
        <v>LT II (A)</v>
      </c>
      <c r="B528" s="884">
        <v>46844.600000000013</v>
      </c>
      <c r="C528" s="884">
        <v>0</v>
      </c>
      <c r="D528" s="884">
        <v>0</v>
      </c>
      <c r="E528" s="884">
        <v>0</v>
      </c>
      <c r="F528" s="884">
        <v>0</v>
      </c>
      <c r="G528" s="884">
        <v>0</v>
      </c>
    </row>
    <row r="529" spans="1:7">
      <c r="A529" s="883" t="str">
        <f t="shared" si="266"/>
        <v>LT II (B)</v>
      </c>
      <c r="B529" s="884">
        <v>57446.3</v>
      </c>
      <c r="C529" s="884">
        <v>13899.6</v>
      </c>
      <c r="D529" s="884">
        <v>23393.4</v>
      </c>
      <c r="E529" s="884">
        <v>8006.0000000000009</v>
      </c>
      <c r="F529" s="884">
        <v>12147.300000000001</v>
      </c>
      <c r="G529" s="884">
        <v>-1082.5699999999997</v>
      </c>
    </row>
    <row r="530" spans="1:7">
      <c r="A530" s="883" t="str">
        <f t="shared" si="266"/>
        <v>LT III (A)</v>
      </c>
      <c r="B530" s="884">
        <v>637.4</v>
      </c>
      <c r="C530" s="884">
        <v>0</v>
      </c>
      <c r="D530" s="884">
        <v>0</v>
      </c>
      <c r="E530" s="884">
        <v>0</v>
      </c>
      <c r="F530" s="884">
        <v>0</v>
      </c>
      <c r="G530" s="884">
        <v>0</v>
      </c>
    </row>
    <row r="531" spans="1:7">
      <c r="A531" s="883" t="str">
        <f t="shared" si="266"/>
        <v>LT III (B)</v>
      </c>
      <c r="B531" s="884">
        <v>605646</v>
      </c>
      <c r="C531" s="884">
        <v>162186</v>
      </c>
      <c r="D531" s="884">
        <v>248480</v>
      </c>
      <c r="E531" s="884">
        <v>83222</v>
      </c>
      <c r="F531" s="884">
        <v>111758</v>
      </c>
      <c r="G531" s="884">
        <v>-53767.599999999977</v>
      </c>
    </row>
    <row r="532" spans="1:7" ht="15">
      <c r="A532" s="883"/>
      <c r="B532" s="893">
        <f>SUM(B524:B531)</f>
        <v>7205627.6900000004</v>
      </c>
      <c r="C532" s="893">
        <f t="shared" ref="C532:G532" si="267">SUM(C524:C531)</f>
        <v>1946471.7400000002</v>
      </c>
      <c r="D532" s="893">
        <f t="shared" si="267"/>
        <v>2796299.32</v>
      </c>
      <c r="E532" s="893">
        <f t="shared" si="267"/>
        <v>1087550.47</v>
      </c>
      <c r="F532" s="893">
        <f t="shared" si="267"/>
        <v>1327824.1599999999</v>
      </c>
      <c r="G532" s="893">
        <f t="shared" si="267"/>
        <v>-589060.66</v>
      </c>
    </row>
    <row r="533" spans="1:7">
      <c r="A533" s="879"/>
      <c r="B533" s="879"/>
      <c r="C533" s="879"/>
      <c r="D533" s="879"/>
      <c r="E533" s="879"/>
      <c r="F533" s="879"/>
      <c r="G533" s="879"/>
    </row>
    <row r="534" spans="1:7">
      <c r="A534" s="879"/>
      <c r="B534" s="879"/>
      <c r="C534" s="879"/>
      <c r="D534" s="879"/>
      <c r="E534" s="879"/>
      <c r="F534" s="879"/>
      <c r="G534" s="879"/>
    </row>
    <row r="535" spans="1:7">
      <c r="A535" s="879"/>
      <c r="B535" s="879"/>
      <c r="C535" s="879"/>
      <c r="D535" s="879"/>
      <c r="E535" s="879"/>
      <c r="F535" s="879"/>
      <c r="G535" s="879"/>
    </row>
    <row r="536" spans="1:7">
      <c r="A536" s="879"/>
      <c r="B536" s="879"/>
      <c r="C536" s="900"/>
      <c r="D536" s="900"/>
      <c r="E536" s="900"/>
      <c r="F536" s="900"/>
      <c r="G536" s="879"/>
    </row>
    <row r="537" spans="1:7" ht="15">
      <c r="A537" s="476" t="s">
        <v>771</v>
      </c>
      <c r="B537" s="890">
        <v>42826</v>
      </c>
      <c r="C537" s="891" t="s">
        <v>1068</v>
      </c>
      <c r="D537" s="891" t="s">
        <v>1069</v>
      </c>
      <c r="E537" s="891" t="s">
        <v>1070</v>
      </c>
      <c r="F537" s="891" t="s">
        <v>1071</v>
      </c>
      <c r="G537" s="897" t="s">
        <v>1072</v>
      </c>
    </row>
    <row r="538" spans="1:7">
      <c r="A538" s="883" t="str">
        <f>A389</f>
        <v>HT I</v>
      </c>
      <c r="B538" s="898">
        <v>6595537</v>
      </c>
      <c r="C538" s="898">
        <v>1703322</v>
      </c>
      <c r="D538" s="898">
        <v>2750545</v>
      </c>
      <c r="E538" s="898">
        <v>931222</v>
      </c>
      <c r="F538" s="898">
        <v>1210448</v>
      </c>
      <c r="G538" s="898">
        <v>-478512.59999999992</v>
      </c>
    </row>
    <row r="539" spans="1:7">
      <c r="A539" s="883" t="str">
        <f t="shared" ref="A539:A545" si="268">A390</f>
        <v>HTII</v>
      </c>
      <c r="B539" s="898">
        <v>0</v>
      </c>
      <c r="C539" s="898">
        <v>0</v>
      </c>
      <c r="D539" s="898">
        <v>0</v>
      </c>
      <c r="E539" s="898">
        <v>0</v>
      </c>
      <c r="F539" s="898">
        <v>0</v>
      </c>
      <c r="G539" s="898">
        <v>0</v>
      </c>
    </row>
    <row r="540" spans="1:7">
      <c r="A540" s="883"/>
      <c r="B540" s="898"/>
      <c r="C540" s="898"/>
      <c r="D540" s="898"/>
      <c r="E540" s="898"/>
      <c r="F540" s="898"/>
      <c r="G540" s="898"/>
    </row>
    <row r="541" spans="1:7">
      <c r="A541" s="883" t="str">
        <f t="shared" si="268"/>
        <v>LT I (G-P)</v>
      </c>
      <c r="B541" s="898">
        <v>0</v>
      </c>
      <c r="C541" s="898">
        <v>0</v>
      </c>
      <c r="D541" s="898">
        <v>0</v>
      </c>
      <c r="E541" s="898">
        <v>0</v>
      </c>
      <c r="F541" s="898">
        <v>0</v>
      </c>
      <c r="G541" s="898">
        <v>0</v>
      </c>
    </row>
    <row r="542" spans="1:7">
      <c r="A542" s="883" t="str">
        <f t="shared" si="268"/>
        <v>LT II (A)</v>
      </c>
      <c r="B542" s="898">
        <v>48169.4</v>
      </c>
      <c r="C542" s="898">
        <v>0</v>
      </c>
      <c r="D542" s="898">
        <v>0</v>
      </c>
      <c r="E542" s="898">
        <v>0</v>
      </c>
      <c r="F542" s="898">
        <v>0</v>
      </c>
      <c r="G542" s="898">
        <v>0</v>
      </c>
    </row>
    <row r="543" spans="1:7">
      <c r="A543" s="883" t="str">
        <f t="shared" si="268"/>
        <v>LT II (B)</v>
      </c>
      <c r="B543" s="898">
        <v>51265.299999999996</v>
      </c>
      <c r="C543" s="898">
        <v>12977</v>
      </c>
      <c r="D543" s="898">
        <v>21125.000000000004</v>
      </c>
      <c r="E543" s="898">
        <v>7543.5999999999995</v>
      </c>
      <c r="F543" s="898">
        <v>9619.6999999999989</v>
      </c>
      <c r="G543" s="898">
        <v>-2848.9500000000003</v>
      </c>
    </row>
    <row r="544" spans="1:7">
      <c r="A544" s="883" t="str">
        <f t="shared" si="268"/>
        <v>LT III (A)</v>
      </c>
      <c r="B544" s="898">
        <v>573</v>
      </c>
      <c r="C544" s="898">
        <v>0</v>
      </c>
      <c r="D544" s="898">
        <v>0</v>
      </c>
      <c r="E544" s="898">
        <v>0</v>
      </c>
      <c r="F544" s="898">
        <v>0</v>
      </c>
      <c r="G544" s="898">
        <v>0</v>
      </c>
    </row>
    <row r="545" spans="1:7">
      <c r="A545" s="883" t="str">
        <f t="shared" si="268"/>
        <v>LT III (B)</v>
      </c>
      <c r="B545" s="898">
        <v>592204</v>
      </c>
      <c r="C545" s="898">
        <v>150737.20000000001</v>
      </c>
      <c r="D545" s="898">
        <v>252378</v>
      </c>
      <c r="E545" s="898">
        <v>83379.199999999997</v>
      </c>
      <c r="F545" s="898">
        <v>105709.6</v>
      </c>
      <c r="G545" s="898">
        <v>-43121.880000000012</v>
      </c>
    </row>
    <row r="546" spans="1:7" ht="15">
      <c r="A546" s="883"/>
      <c r="B546" s="899">
        <f>SUM(B538:B545)</f>
        <v>7287748.7000000002</v>
      </c>
      <c r="C546" s="899">
        <f t="shared" ref="C546:G546" si="269">SUM(C538:C545)</f>
        <v>1867036.2</v>
      </c>
      <c r="D546" s="899">
        <f t="shared" si="269"/>
        <v>3024048</v>
      </c>
      <c r="E546" s="899">
        <f t="shared" si="269"/>
        <v>1022144.7999999999</v>
      </c>
      <c r="F546" s="899">
        <f t="shared" si="269"/>
        <v>1325777.3</v>
      </c>
      <c r="G546" s="899">
        <f t="shared" si="269"/>
        <v>-524483.42999999993</v>
      </c>
    </row>
    <row r="547" spans="1:7">
      <c r="A547" s="879"/>
      <c r="B547" s="879"/>
      <c r="C547" s="879"/>
      <c r="D547" s="879"/>
      <c r="E547" s="879"/>
      <c r="F547" s="879"/>
      <c r="G547" s="879"/>
    </row>
    <row r="548" spans="1:7" ht="15">
      <c r="A548" s="476" t="s">
        <v>771</v>
      </c>
      <c r="B548" s="890">
        <v>42856</v>
      </c>
      <c r="C548" s="891" t="s">
        <v>1068</v>
      </c>
      <c r="D548" s="891" t="s">
        <v>1069</v>
      </c>
      <c r="E548" s="891" t="s">
        <v>1070</v>
      </c>
      <c r="F548" s="891" t="s">
        <v>1071</v>
      </c>
      <c r="G548" s="897" t="s">
        <v>1072</v>
      </c>
    </row>
    <row r="549" spans="1:7">
      <c r="A549" s="883" t="str">
        <f>A538</f>
        <v>HT I</v>
      </c>
      <c r="B549" s="898">
        <v>7206475</v>
      </c>
      <c r="C549" s="898">
        <v>1698986.5999999999</v>
      </c>
      <c r="D549" s="898">
        <v>3127349.4</v>
      </c>
      <c r="E549" s="898">
        <v>1023748.2</v>
      </c>
      <c r="F549" s="898">
        <v>1356390.8</v>
      </c>
      <c r="G549" s="898">
        <v>-237451.45999999996</v>
      </c>
    </row>
    <row r="550" spans="1:7">
      <c r="A550" s="883" t="str">
        <f t="shared" ref="A550:A556" si="270">A539</f>
        <v>HTII</v>
      </c>
      <c r="B550" s="898">
        <v>0</v>
      </c>
      <c r="C550" s="898">
        <v>0</v>
      </c>
      <c r="D550" s="898">
        <v>0</v>
      </c>
      <c r="E550" s="898">
        <v>0</v>
      </c>
      <c r="F550" s="898">
        <v>0</v>
      </c>
      <c r="G550" s="898">
        <v>0</v>
      </c>
    </row>
    <row r="551" spans="1:7">
      <c r="A551" s="898"/>
      <c r="B551" s="898"/>
      <c r="C551" s="898"/>
      <c r="D551" s="898"/>
      <c r="E551" s="898"/>
      <c r="F551" s="898"/>
      <c r="G551" s="898"/>
    </row>
    <row r="552" spans="1:7">
      <c r="A552" s="883" t="str">
        <f t="shared" si="270"/>
        <v>LT I (G-P)</v>
      </c>
      <c r="B552" s="898">
        <v>0</v>
      </c>
      <c r="C552" s="898">
        <v>0</v>
      </c>
      <c r="D552" s="898">
        <v>0</v>
      </c>
      <c r="E552" s="898">
        <v>0</v>
      </c>
      <c r="F552" s="898">
        <v>0</v>
      </c>
      <c r="G552" s="898">
        <v>0</v>
      </c>
    </row>
    <row r="553" spans="1:7">
      <c r="A553" s="883" t="str">
        <f t="shared" si="270"/>
        <v>LT II (A)</v>
      </c>
      <c r="B553" s="898">
        <v>51277.8</v>
      </c>
      <c r="C553" s="898">
        <v>0</v>
      </c>
      <c r="D553" s="898">
        <v>0</v>
      </c>
      <c r="E553" s="898">
        <v>0</v>
      </c>
      <c r="F553" s="898">
        <v>0</v>
      </c>
      <c r="G553" s="898">
        <v>0</v>
      </c>
    </row>
    <row r="554" spans="1:7">
      <c r="A554" s="883" t="str">
        <f t="shared" si="270"/>
        <v>LT II (B)</v>
      </c>
      <c r="B554" s="898">
        <v>60228.2</v>
      </c>
      <c r="C554" s="898">
        <v>13537.9</v>
      </c>
      <c r="D554" s="898">
        <v>25645.4</v>
      </c>
      <c r="E554" s="898">
        <v>10418.1</v>
      </c>
      <c r="F554" s="898">
        <v>10626.800000000001</v>
      </c>
      <c r="G554" s="898">
        <v>-282.88999999999987</v>
      </c>
    </row>
    <row r="555" spans="1:7">
      <c r="A555" s="883" t="str">
        <f t="shared" si="270"/>
        <v>LT III (A)</v>
      </c>
      <c r="B555" s="898">
        <v>590.9</v>
      </c>
      <c r="C555" s="898"/>
      <c r="D555" s="898"/>
      <c r="E555" s="898"/>
      <c r="F555" s="898"/>
      <c r="G555" s="898">
        <v>0</v>
      </c>
    </row>
    <row r="556" spans="1:7">
      <c r="A556" s="883" t="str">
        <f t="shared" si="270"/>
        <v>LT III (B)</v>
      </c>
      <c r="B556" s="898">
        <v>632482</v>
      </c>
      <c r="C556" s="898">
        <v>146896.79999999999</v>
      </c>
      <c r="D556" s="898">
        <v>285570</v>
      </c>
      <c r="E556" s="898">
        <v>92242.8</v>
      </c>
      <c r="F556" s="898">
        <v>107772.4</v>
      </c>
      <c r="G556" s="898">
        <v>-28001.320000000007</v>
      </c>
    </row>
    <row r="557" spans="1:7" ht="15">
      <c r="A557" s="883"/>
      <c r="B557" s="899">
        <f t="shared" ref="B557:G557" si="271">SUM(B549:B556)</f>
        <v>7951053.9000000004</v>
      </c>
      <c r="C557" s="899">
        <f t="shared" si="271"/>
        <v>1859421.2999999998</v>
      </c>
      <c r="D557" s="899">
        <f t="shared" si="271"/>
        <v>3438564.8</v>
      </c>
      <c r="E557" s="899">
        <f t="shared" si="271"/>
        <v>1126409.0999999999</v>
      </c>
      <c r="F557" s="899">
        <f t="shared" si="271"/>
        <v>1474790</v>
      </c>
      <c r="G557" s="899">
        <f t="shared" si="271"/>
        <v>-265735.67</v>
      </c>
    </row>
    <row r="558" spans="1:7">
      <c r="A558" s="879"/>
      <c r="B558" s="879"/>
      <c r="C558" s="895"/>
      <c r="D558" s="895"/>
      <c r="E558" s="895"/>
      <c r="F558" s="895"/>
      <c r="G558" s="879"/>
    </row>
    <row r="559" spans="1:7" ht="15">
      <c r="A559" s="476" t="s">
        <v>771</v>
      </c>
      <c r="B559" s="890">
        <v>42887</v>
      </c>
      <c r="C559" s="891" t="s">
        <v>1068</v>
      </c>
      <c r="D559" s="891" t="s">
        <v>1069</v>
      </c>
      <c r="E559" s="891" t="s">
        <v>1070</v>
      </c>
      <c r="F559" s="891" t="s">
        <v>1071</v>
      </c>
      <c r="G559" s="897" t="s">
        <v>1072</v>
      </c>
    </row>
    <row r="560" spans="1:7">
      <c r="A560" s="883" t="str">
        <f>A549</f>
        <v>HT I</v>
      </c>
      <c r="B560" s="898">
        <v>6530940</v>
      </c>
      <c r="C560" s="898">
        <v>1709206</v>
      </c>
      <c r="D560" s="898">
        <v>2708860</v>
      </c>
      <c r="E560" s="898">
        <v>921652</v>
      </c>
      <c r="F560" s="898">
        <v>1191222</v>
      </c>
      <c r="G560" s="898">
        <v>-516143.20000000007</v>
      </c>
    </row>
    <row r="561" spans="1:7">
      <c r="A561" s="883" t="str">
        <f t="shared" ref="A561:A567" si="272">A550</f>
        <v>HTII</v>
      </c>
      <c r="B561" s="898">
        <v>0</v>
      </c>
      <c r="C561" s="898">
        <v>0</v>
      </c>
      <c r="D561" s="898">
        <v>0</v>
      </c>
      <c r="E561" s="898">
        <v>0</v>
      </c>
      <c r="F561" s="898">
        <v>0</v>
      </c>
      <c r="G561" s="898">
        <v>0</v>
      </c>
    </row>
    <row r="562" spans="1:7">
      <c r="A562" s="883"/>
      <c r="B562" s="898"/>
      <c r="C562" s="898"/>
      <c r="D562" s="898"/>
      <c r="E562" s="898"/>
      <c r="F562" s="898"/>
      <c r="G562" s="898"/>
    </row>
    <row r="563" spans="1:7">
      <c r="A563" s="883" t="str">
        <f t="shared" si="272"/>
        <v>LT I (G-P)</v>
      </c>
      <c r="B563" s="898">
        <v>0</v>
      </c>
      <c r="C563" s="898">
        <v>0</v>
      </c>
      <c r="D563" s="898">
        <v>0</v>
      </c>
      <c r="E563" s="898">
        <v>0</v>
      </c>
      <c r="F563" s="898">
        <v>0</v>
      </c>
      <c r="G563" s="898">
        <v>0</v>
      </c>
    </row>
    <row r="564" spans="1:7">
      <c r="A564" s="883" t="str">
        <f t="shared" si="272"/>
        <v>LT II (A)</v>
      </c>
      <c r="B564" s="898">
        <v>46502.3</v>
      </c>
      <c r="C564" s="898">
        <v>0</v>
      </c>
      <c r="D564" s="898">
        <v>0</v>
      </c>
      <c r="E564" s="898">
        <v>0</v>
      </c>
      <c r="F564" s="898">
        <v>0</v>
      </c>
      <c r="G564" s="898">
        <v>0</v>
      </c>
    </row>
    <row r="565" spans="1:7">
      <c r="A565" s="883" t="str">
        <f t="shared" si="272"/>
        <v>LT II (B)</v>
      </c>
      <c r="B565" s="898">
        <v>28201</v>
      </c>
      <c r="C565" s="898">
        <v>6535.5</v>
      </c>
      <c r="D565" s="898">
        <v>11835.9</v>
      </c>
      <c r="E565" s="898">
        <v>3907.3</v>
      </c>
      <c r="F565" s="898">
        <v>5922.3</v>
      </c>
      <c r="G565" s="898">
        <v>-162.87999999999997</v>
      </c>
    </row>
    <row r="566" spans="1:7">
      <c r="A566" s="883" t="str">
        <f t="shared" si="272"/>
        <v>LT III (A)</v>
      </c>
      <c r="B566" s="898">
        <v>613.4</v>
      </c>
      <c r="C566" s="898">
        <v>0</v>
      </c>
      <c r="D566" s="898">
        <v>0</v>
      </c>
      <c r="E566" s="898">
        <v>0</v>
      </c>
      <c r="F566" s="898">
        <v>0</v>
      </c>
      <c r="G566" s="898">
        <v>0</v>
      </c>
    </row>
    <row r="567" spans="1:7">
      <c r="A567" s="883" t="str">
        <f t="shared" si="272"/>
        <v>LT III (B)</v>
      </c>
      <c r="B567" s="898">
        <v>632600</v>
      </c>
      <c r="C567" s="898">
        <v>166808</v>
      </c>
      <c r="D567" s="898">
        <v>261576</v>
      </c>
      <c r="E567" s="898">
        <v>90600</v>
      </c>
      <c r="F567" s="898">
        <v>113616</v>
      </c>
      <c r="G567" s="898">
        <v>-52754.400000000001</v>
      </c>
    </row>
    <row r="568" spans="1:7" ht="15">
      <c r="A568" s="883"/>
      <c r="B568" s="899">
        <f>SUM(B560:B567)</f>
        <v>7238856.7000000002</v>
      </c>
      <c r="C568" s="899">
        <f t="shared" ref="C568:G568" si="273">SUM(C560:C567)</f>
        <v>1882549.5</v>
      </c>
      <c r="D568" s="899">
        <f t="shared" si="273"/>
        <v>2982271.9</v>
      </c>
      <c r="E568" s="899">
        <f t="shared" si="273"/>
        <v>1016159.3</v>
      </c>
      <c r="F568" s="899">
        <f t="shared" si="273"/>
        <v>1310760.3</v>
      </c>
      <c r="G568" s="899">
        <f t="shared" si="273"/>
        <v>-569060.4800000001</v>
      </c>
    </row>
    <row r="569" spans="1:7">
      <c r="A569" s="879"/>
      <c r="B569" s="879"/>
      <c r="C569" s="896"/>
      <c r="D569" s="896"/>
      <c r="E569" s="896"/>
      <c r="F569" s="896"/>
      <c r="G569" s="879"/>
    </row>
    <row r="570" spans="1:7" ht="15">
      <c r="A570" s="476" t="s">
        <v>771</v>
      </c>
      <c r="B570" s="890">
        <v>42917</v>
      </c>
      <c r="C570" s="891" t="s">
        <v>1068</v>
      </c>
      <c r="D570" s="891" t="s">
        <v>1069</v>
      </c>
      <c r="E570" s="891" t="s">
        <v>1070</v>
      </c>
      <c r="F570" s="891" t="s">
        <v>1071</v>
      </c>
      <c r="G570" s="897" t="s">
        <v>1072</v>
      </c>
    </row>
    <row r="571" spans="1:7">
      <c r="A571" s="883" t="str">
        <f>A560</f>
        <v>HT I</v>
      </c>
      <c r="B571" s="898">
        <v>6741162</v>
      </c>
      <c r="C571" s="898">
        <v>1777408</v>
      </c>
      <c r="D571" s="898">
        <v>2782666</v>
      </c>
      <c r="E571" s="898">
        <v>943884</v>
      </c>
      <c r="F571" s="898">
        <v>1237204</v>
      </c>
      <c r="G571" s="898">
        <v>-550080.4</v>
      </c>
    </row>
    <row r="572" spans="1:7">
      <c r="A572" s="883" t="str">
        <f t="shared" ref="A572:A578" si="274">A561</f>
        <v>HTII</v>
      </c>
      <c r="B572" s="898">
        <v>0</v>
      </c>
      <c r="C572" s="898">
        <v>0</v>
      </c>
      <c r="D572" s="898">
        <v>0</v>
      </c>
      <c r="E572" s="898">
        <v>0</v>
      </c>
      <c r="F572" s="898">
        <v>0</v>
      </c>
      <c r="G572" s="898">
        <v>0</v>
      </c>
    </row>
    <row r="573" spans="1:7">
      <c r="A573" s="883"/>
      <c r="B573" s="898"/>
      <c r="C573" s="898"/>
      <c r="D573" s="898"/>
      <c r="E573" s="898"/>
      <c r="F573" s="898"/>
      <c r="G573" s="898"/>
    </row>
    <row r="574" spans="1:7">
      <c r="A574" s="883" t="str">
        <f t="shared" si="274"/>
        <v>LT I (G-P)</v>
      </c>
      <c r="B574" s="898">
        <v>0</v>
      </c>
      <c r="C574" s="898">
        <v>0</v>
      </c>
      <c r="D574" s="898">
        <v>0</v>
      </c>
      <c r="E574" s="898">
        <v>0</v>
      </c>
      <c r="F574" s="898">
        <v>0</v>
      </c>
      <c r="G574" s="898">
        <v>0</v>
      </c>
    </row>
    <row r="575" spans="1:7">
      <c r="A575" s="883" t="str">
        <f t="shared" si="274"/>
        <v>LT II (A)</v>
      </c>
      <c r="B575" s="898">
        <v>45982.400000000009</v>
      </c>
      <c r="C575" s="898">
        <v>0</v>
      </c>
      <c r="D575" s="898">
        <v>0</v>
      </c>
      <c r="E575" s="898">
        <v>0</v>
      </c>
      <c r="F575" s="898">
        <v>0</v>
      </c>
      <c r="G575" s="898">
        <v>0</v>
      </c>
    </row>
    <row r="576" spans="1:7">
      <c r="A576" s="883" t="str">
        <f t="shared" si="274"/>
        <v>LT II (B)</v>
      </c>
      <c r="B576" s="898">
        <v>32780.400000000001</v>
      </c>
      <c r="C576" s="898">
        <v>8365.7999999999993</v>
      </c>
      <c r="D576" s="898">
        <v>13456.3</v>
      </c>
      <c r="E576" s="898">
        <v>4455.5</v>
      </c>
      <c r="F576" s="898">
        <v>6502.7999999999993</v>
      </c>
      <c r="G576" s="898">
        <v>-1831.2199999999998</v>
      </c>
    </row>
    <row r="577" spans="1:7">
      <c r="A577" s="883" t="str">
        <f t="shared" si="274"/>
        <v>LT III (A)</v>
      </c>
      <c r="B577" s="898">
        <v>667.6</v>
      </c>
      <c r="C577" s="898">
        <v>0</v>
      </c>
      <c r="D577" s="898">
        <v>0</v>
      </c>
      <c r="E577" s="898">
        <v>0</v>
      </c>
      <c r="F577" s="898">
        <v>0</v>
      </c>
      <c r="G577" s="898">
        <v>0</v>
      </c>
    </row>
    <row r="578" spans="1:7">
      <c r="A578" s="883" t="str">
        <f t="shared" si="274"/>
        <v>LT III (B)</v>
      </c>
      <c r="B578" s="898">
        <v>622674.28</v>
      </c>
      <c r="C578" s="898">
        <v>170567.43</v>
      </c>
      <c r="D578" s="898">
        <v>252744.6</v>
      </c>
      <c r="E578" s="898">
        <v>86875.54</v>
      </c>
      <c r="F578" s="898">
        <v>112486.71</v>
      </c>
      <c r="G578" s="898">
        <v>-62615.339999999989</v>
      </c>
    </row>
    <row r="579" spans="1:7" ht="15">
      <c r="A579" s="883"/>
      <c r="B579" s="899">
        <f>SUM(B571:B578)</f>
        <v>7443266.6800000006</v>
      </c>
      <c r="C579" s="899">
        <f t="shared" ref="C579:G579" si="275">SUM(C571:C578)</f>
        <v>1956341.23</v>
      </c>
      <c r="D579" s="899">
        <f t="shared" si="275"/>
        <v>3048866.9</v>
      </c>
      <c r="E579" s="899">
        <f t="shared" si="275"/>
        <v>1035215.04</v>
      </c>
      <c r="F579" s="899">
        <f t="shared" si="275"/>
        <v>1356193.51</v>
      </c>
      <c r="G579" s="899">
        <f t="shared" si="275"/>
        <v>-614526.96</v>
      </c>
    </row>
    <row r="580" spans="1:7">
      <c r="A580" s="879"/>
      <c r="B580" s="879"/>
      <c r="C580" s="879"/>
      <c r="D580" s="879"/>
      <c r="E580" s="879"/>
      <c r="F580" s="879"/>
      <c r="G580" s="879"/>
    </row>
    <row r="581" spans="1:7" ht="15">
      <c r="A581" s="476" t="s">
        <v>771</v>
      </c>
      <c r="B581" s="890">
        <v>42948</v>
      </c>
      <c r="C581" s="891" t="s">
        <v>1068</v>
      </c>
      <c r="D581" s="891" t="s">
        <v>1069</v>
      </c>
      <c r="E581" s="891" t="s">
        <v>1070</v>
      </c>
      <c r="F581" s="891" t="s">
        <v>1071</v>
      </c>
      <c r="G581" s="897" t="str">
        <f>G570</f>
        <v>TOD Energy Charge</v>
      </c>
    </row>
    <row r="582" spans="1:7">
      <c r="A582" s="883" t="str">
        <f>A571</f>
        <v>HT I</v>
      </c>
      <c r="B582" s="898">
        <v>6356536.5999999996</v>
      </c>
      <c r="C582" s="898">
        <v>1697554</v>
      </c>
      <c r="D582" s="898">
        <v>2614412.6</v>
      </c>
      <c r="E582" s="898">
        <v>890994</v>
      </c>
      <c r="F582" s="898">
        <v>1153576</v>
      </c>
      <c r="G582" s="898">
        <v>-564602.20000000007</v>
      </c>
    </row>
    <row r="583" spans="1:7">
      <c r="A583" s="883" t="str">
        <f t="shared" ref="A583:A589" si="276">A572</f>
        <v>HTII</v>
      </c>
      <c r="B583" s="898">
        <v>0</v>
      </c>
      <c r="C583" s="898">
        <v>0</v>
      </c>
      <c r="D583" s="898">
        <v>0</v>
      </c>
      <c r="E583" s="898">
        <v>0</v>
      </c>
      <c r="F583" s="898">
        <v>0</v>
      </c>
      <c r="G583" s="898">
        <v>0</v>
      </c>
    </row>
    <row r="584" spans="1:7">
      <c r="A584" s="883"/>
      <c r="B584" s="898"/>
      <c r="C584" s="898"/>
      <c r="D584" s="898"/>
      <c r="E584" s="898"/>
      <c r="F584" s="898"/>
      <c r="G584" s="898"/>
    </row>
    <row r="585" spans="1:7">
      <c r="A585" s="883" t="str">
        <f t="shared" si="276"/>
        <v>LT I (G-P)</v>
      </c>
      <c r="B585" s="898">
        <v>0</v>
      </c>
      <c r="C585" s="898">
        <v>0</v>
      </c>
      <c r="D585" s="898">
        <v>0</v>
      </c>
      <c r="E585" s="898">
        <v>0</v>
      </c>
      <c r="F585" s="898">
        <v>0</v>
      </c>
      <c r="G585" s="898">
        <v>0</v>
      </c>
    </row>
    <row r="586" spans="1:7">
      <c r="A586" s="883" t="str">
        <f t="shared" si="276"/>
        <v>LT II (A)</v>
      </c>
      <c r="B586" s="898">
        <v>49305.200000000004</v>
      </c>
      <c r="C586" s="898">
        <v>0</v>
      </c>
      <c r="D586" s="898">
        <v>0</v>
      </c>
      <c r="E586" s="898">
        <v>0</v>
      </c>
      <c r="F586" s="898">
        <v>0</v>
      </c>
      <c r="G586" s="898">
        <v>0</v>
      </c>
    </row>
    <row r="587" spans="1:7">
      <c r="A587" s="883" t="str">
        <f t="shared" si="276"/>
        <v>LT II (B)</v>
      </c>
      <c r="B587" s="898">
        <v>32915.550000000003</v>
      </c>
      <c r="C587" s="898">
        <v>8637.86</v>
      </c>
      <c r="D587" s="898">
        <v>13840.75</v>
      </c>
      <c r="E587" s="898">
        <v>4165.8499999999995</v>
      </c>
      <c r="F587" s="898">
        <v>6271.09</v>
      </c>
      <c r="G587" s="898">
        <v>-2725.9100000000003</v>
      </c>
    </row>
    <row r="588" spans="1:7">
      <c r="A588" s="883" t="str">
        <f t="shared" si="276"/>
        <v>LT III (A)</v>
      </c>
      <c r="B588" s="898">
        <v>595.70000000000005</v>
      </c>
      <c r="C588" s="898">
        <v>0</v>
      </c>
      <c r="D588" s="898">
        <v>0</v>
      </c>
      <c r="E588" s="898">
        <v>0</v>
      </c>
      <c r="F588" s="898">
        <v>0</v>
      </c>
      <c r="G588" s="898">
        <v>0</v>
      </c>
    </row>
    <row r="589" spans="1:7">
      <c r="A589" s="883" t="str">
        <f t="shared" si="276"/>
        <v>LT III (B)</v>
      </c>
      <c r="B589" s="898">
        <v>617774</v>
      </c>
      <c r="C589" s="898">
        <v>168942</v>
      </c>
      <c r="D589" s="898">
        <v>249752</v>
      </c>
      <c r="E589" s="898">
        <v>86382</v>
      </c>
      <c r="F589" s="898">
        <v>112698</v>
      </c>
      <c r="G589" s="898">
        <v>-60339.60000000002</v>
      </c>
    </row>
    <row r="590" spans="1:7" ht="15">
      <c r="A590" s="883"/>
      <c r="B590" s="899">
        <f>SUM(B582:B589)</f>
        <v>7057127.0499999998</v>
      </c>
      <c r="C590" s="899">
        <f t="shared" ref="C590:G590" si="277">SUM(C582:C589)</f>
        <v>1875133.86</v>
      </c>
      <c r="D590" s="899">
        <f t="shared" si="277"/>
        <v>2878005.35</v>
      </c>
      <c r="E590" s="899">
        <f t="shared" si="277"/>
        <v>981541.85</v>
      </c>
      <c r="F590" s="899">
        <f t="shared" si="277"/>
        <v>1272545.0900000001</v>
      </c>
      <c r="G590" s="899">
        <f t="shared" si="277"/>
        <v>-627667.71000000008</v>
      </c>
    </row>
    <row r="591" spans="1:7">
      <c r="A591" s="879"/>
      <c r="B591" s="879"/>
      <c r="C591" s="896"/>
      <c r="D591" s="896"/>
      <c r="E591" s="896"/>
      <c r="F591" s="896"/>
      <c r="G591" s="879"/>
    </row>
    <row r="592" spans="1:7" ht="15">
      <c r="A592" s="476" t="s">
        <v>771</v>
      </c>
      <c r="B592" s="890">
        <v>42979</v>
      </c>
      <c r="C592" s="891" t="s">
        <v>1068</v>
      </c>
      <c r="D592" s="891" t="s">
        <v>1069</v>
      </c>
      <c r="E592" s="891" t="s">
        <v>1070</v>
      </c>
      <c r="F592" s="891" t="s">
        <v>1071</v>
      </c>
      <c r="G592" s="897" t="str">
        <f>G581</f>
        <v>TOD Energy Charge</v>
      </c>
    </row>
    <row r="593" spans="1:7">
      <c r="A593" s="883" t="str">
        <f>A582</f>
        <v>HT I</v>
      </c>
      <c r="B593" s="898">
        <v>6305107.5999999996</v>
      </c>
      <c r="C593" s="898">
        <v>1649093.6</v>
      </c>
      <c r="D593" s="898">
        <v>2612024</v>
      </c>
      <c r="E593" s="898">
        <v>891798</v>
      </c>
      <c r="F593" s="898">
        <v>1152192</v>
      </c>
      <c r="G593" s="898">
        <v>-492790.8</v>
      </c>
    </row>
    <row r="594" spans="1:7">
      <c r="A594" s="883" t="str">
        <f t="shared" ref="A594:A600" si="278">A583</f>
        <v>HTII</v>
      </c>
      <c r="B594" s="898">
        <v>0</v>
      </c>
      <c r="C594" s="898">
        <v>0</v>
      </c>
      <c r="D594" s="898">
        <v>0</v>
      </c>
      <c r="E594" s="898">
        <v>0</v>
      </c>
      <c r="F594" s="898">
        <v>0</v>
      </c>
      <c r="G594" s="898">
        <v>0</v>
      </c>
    </row>
    <row r="595" spans="1:7">
      <c r="A595" s="883"/>
      <c r="B595" s="898"/>
      <c r="C595" s="898"/>
      <c r="D595" s="898"/>
      <c r="E595" s="898"/>
      <c r="F595" s="898"/>
      <c r="G595" s="898"/>
    </row>
    <row r="596" spans="1:7">
      <c r="A596" s="883" t="str">
        <f t="shared" si="278"/>
        <v>LT I (G-P)</v>
      </c>
      <c r="B596" s="898">
        <v>0</v>
      </c>
      <c r="C596" s="898">
        <v>0</v>
      </c>
      <c r="D596" s="898">
        <v>0</v>
      </c>
      <c r="E596" s="898">
        <v>0</v>
      </c>
      <c r="F596" s="898">
        <v>0</v>
      </c>
      <c r="G596" s="898">
        <v>0</v>
      </c>
    </row>
    <row r="597" spans="1:7">
      <c r="A597" s="883" t="str">
        <f t="shared" si="278"/>
        <v>LT II (A)</v>
      </c>
      <c r="B597" s="898">
        <v>49558.689999999988</v>
      </c>
      <c r="C597" s="898">
        <v>0</v>
      </c>
      <c r="D597" s="898">
        <v>0</v>
      </c>
      <c r="E597" s="898">
        <v>0</v>
      </c>
      <c r="F597" s="898">
        <v>0</v>
      </c>
      <c r="G597" s="898">
        <v>0</v>
      </c>
    </row>
    <row r="598" spans="1:7">
      <c r="A598" s="883" t="str">
        <f t="shared" si="278"/>
        <v>LT II (B)</v>
      </c>
      <c r="B598" s="898">
        <v>24982.57</v>
      </c>
      <c r="C598" s="898">
        <v>7124.8399999999992</v>
      </c>
      <c r="D598" s="898">
        <v>9842.36</v>
      </c>
      <c r="E598" s="898">
        <v>3221.64</v>
      </c>
      <c r="F598" s="898">
        <v>4793.7300000000005</v>
      </c>
      <c r="G598" s="898">
        <v>-2836.8500000000004</v>
      </c>
    </row>
    <row r="599" spans="1:7">
      <c r="A599" s="883" t="str">
        <f t="shared" si="278"/>
        <v>LT III (A)</v>
      </c>
      <c r="B599" s="898">
        <v>520</v>
      </c>
      <c r="C599" s="898">
        <v>0</v>
      </c>
      <c r="D599" s="898">
        <v>0</v>
      </c>
      <c r="E599" s="898">
        <v>0</v>
      </c>
      <c r="F599" s="898">
        <v>0</v>
      </c>
      <c r="G599" s="898">
        <v>0</v>
      </c>
    </row>
    <row r="600" spans="1:7">
      <c r="A600" s="883" t="str">
        <f t="shared" si="278"/>
        <v>LT III (B)</v>
      </c>
      <c r="B600" s="898">
        <v>607800</v>
      </c>
      <c r="C600" s="898">
        <v>163662</v>
      </c>
      <c r="D600" s="898">
        <v>248848</v>
      </c>
      <c r="E600" s="898">
        <v>85718</v>
      </c>
      <c r="F600" s="898">
        <v>109572</v>
      </c>
      <c r="G600" s="898">
        <v>-56389.39999999998</v>
      </c>
    </row>
    <row r="601" spans="1:7" ht="15">
      <c r="A601" s="883"/>
      <c r="B601" s="899">
        <f>SUM(B593:B600)</f>
        <v>6987968.8600000003</v>
      </c>
      <c r="C601" s="899">
        <f t="shared" ref="C601:G601" si="279">SUM(C593:C600)</f>
        <v>1819880.4400000002</v>
      </c>
      <c r="D601" s="899">
        <f t="shared" si="279"/>
        <v>2870714.36</v>
      </c>
      <c r="E601" s="899">
        <f t="shared" si="279"/>
        <v>980737.64</v>
      </c>
      <c r="F601" s="899">
        <f t="shared" si="279"/>
        <v>1266557.73</v>
      </c>
      <c r="G601" s="899">
        <f t="shared" si="279"/>
        <v>-552017.04999999993</v>
      </c>
    </row>
    <row r="603" spans="1:7" ht="15">
      <c r="A603" s="476" t="s">
        <v>771</v>
      </c>
      <c r="B603" s="890">
        <v>43009</v>
      </c>
      <c r="C603" s="891" t="s">
        <v>1068</v>
      </c>
      <c r="D603" s="891" t="s">
        <v>1069</v>
      </c>
      <c r="E603" s="891" t="s">
        <v>1070</v>
      </c>
      <c r="F603" s="891" t="s">
        <v>1071</v>
      </c>
      <c r="G603" s="897" t="str">
        <f>G592</f>
        <v>TOD Energy Charge</v>
      </c>
    </row>
    <row r="604" spans="1:7">
      <c r="A604" s="883" t="str">
        <f>A593</f>
        <v>HT I</v>
      </c>
      <c r="B604" s="898">
        <f>B469*1.01</f>
        <v>6164907.6900000004</v>
      </c>
      <c r="C604" s="898">
        <f>C469*1.01</f>
        <v>1786385.99</v>
      </c>
      <c r="D604" s="898">
        <f t="shared" ref="D604:F604" si="280">D469*1.01</f>
        <v>2175036.0100000002</v>
      </c>
      <c r="E604" s="898">
        <f t="shared" si="280"/>
        <v>967540.81199999992</v>
      </c>
      <c r="F604" s="898">
        <f t="shared" si="280"/>
        <v>1235944.8779999998</v>
      </c>
      <c r="G604" s="898"/>
    </row>
    <row r="605" spans="1:7">
      <c r="A605" s="883" t="str">
        <f t="shared" ref="A605:A611" si="281">A594</f>
        <v>HTII</v>
      </c>
      <c r="B605" s="898">
        <f t="shared" ref="B605:F611" si="282">B470*1.01</f>
        <v>0</v>
      </c>
      <c r="C605" s="898">
        <f t="shared" si="282"/>
        <v>0</v>
      </c>
      <c r="D605" s="898">
        <f t="shared" si="282"/>
        <v>0</v>
      </c>
      <c r="E605" s="898">
        <f t="shared" si="282"/>
        <v>0</v>
      </c>
      <c r="F605" s="898">
        <f t="shared" si="282"/>
        <v>0</v>
      </c>
      <c r="G605" s="898"/>
    </row>
    <row r="606" spans="1:7">
      <c r="A606" s="883"/>
      <c r="B606" s="898">
        <f t="shared" si="282"/>
        <v>0</v>
      </c>
      <c r="C606" s="898">
        <f t="shared" si="282"/>
        <v>0</v>
      </c>
      <c r="D606" s="898">
        <f t="shared" si="282"/>
        <v>0</v>
      </c>
      <c r="E606" s="898">
        <f t="shared" si="282"/>
        <v>0</v>
      </c>
      <c r="F606" s="898">
        <f t="shared" si="282"/>
        <v>0</v>
      </c>
      <c r="G606" s="898"/>
    </row>
    <row r="607" spans="1:7">
      <c r="A607" s="883" t="str">
        <f t="shared" si="281"/>
        <v>LT I (G-P)</v>
      </c>
      <c r="B607" s="898">
        <f t="shared" si="282"/>
        <v>0</v>
      </c>
      <c r="C607" s="898">
        <f t="shared" si="282"/>
        <v>0</v>
      </c>
      <c r="D607" s="898">
        <f t="shared" si="282"/>
        <v>0</v>
      </c>
      <c r="E607" s="898">
        <f t="shared" si="282"/>
        <v>0</v>
      </c>
      <c r="F607" s="898">
        <f t="shared" si="282"/>
        <v>0</v>
      </c>
      <c r="G607" s="898"/>
    </row>
    <row r="608" spans="1:7">
      <c r="A608" s="883" t="str">
        <f t="shared" si="281"/>
        <v>LT II (A)</v>
      </c>
      <c r="B608" s="898">
        <f t="shared" si="282"/>
        <v>42466.459999999992</v>
      </c>
      <c r="C608" s="898">
        <f t="shared" si="282"/>
        <v>0</v>
      </c>
      <c r="D608" s="898">
        <f t="shared" si="282"/>
        <v>0</v>
      </c>
      <c r="E608" s="898">
        <f t="shared" si="282"/>
        <v>0</v>
      </c>
      <c r="F608" s="898">
        <f t="shared" si="282"/>
        <v>0</v>
      </c>
      <c r="G608" s="898"/>
    </row>
    <row r="609" spans="1:7">
      <c r="A609" s="883" t="str">
        <f t="shared" si="281"/>
        <v>LT II (B)</v>
      </c>
      <c r="B609" s="898">
        <f t="shared" si="282"/>
        <v>46580.695</v>
      </c>
      <c r="C609" s="898">
        <f t="shared" si="282"/>
        <v>11194.981400000001</v>
      </c>
      <c r="D609" s="898">
        <f t="shared" si="282"/>
        <v>18239.933400000002</v>
      </c>
      <c r="E609" s="898">
        <f t="shared" si="282"/>
        <v>7149.0426000000007</v>
      </c>
      <c r="F609" s="898">
        <f t="shared" si="282"/>
        <v>9996.7376000000004</v>
      </c>
      <c r="G609" s="898"/>
    </row>
    <row r="610" spans="1:7">
      <c r="A610" s="883" t="str">
        <f t="shared" si="281"/>
        <v>LT III (A)</v>
      </c>
      <c r="B610" s="898">
        <f t="shared" si="282"/>
        <v>721.94799999999998</v>
      </c>
      <c r="C610" s="898">
        <f t="shared" si="282"/>
        <v>0</v>
      </c>
      <c r="D610" s="898">
        <f t="shared" si="282"/>
        <v>0</v>
      </c>
      <c r="E610" s="898">
        <f t="shared" si="282"/>
        <v>0</v>
      </c>
      <c r="F610" s="898">
        <f t="shared" si="282"/>
        <v>0</v>
      </c>
      <c r="G610" s="898"/>
    </row>
    <row r="611" spans="1:7">
      <c r="A611" s="883" t="str">
        <f t="shared" si="281"/>
        <v>LT III (B)</v>
      </c>
      <c r="B611" s="898">
        <f t="shared" si="282"/>
        <v>599797.59</v>
      </c>
      <c r="C611" s="898">
        <f t="shared" si="282"/>
        <v>175919.37599999993</v>
      </c>
      <c r="D611" s="898">
        <f t="shared" si="282"/>
        <v>207363.90800000002</v>
      </c>
      <c r="E611" s="898">
        <f t="shared" si="282"/>
        <v>97522.974000000002</v>
      </c>
      <c r="F611" s="898">
        <f t="shared" si="282"/>
        <v>118991.33199999997</v>
      </c>
      <c r="G611" s="898"/>
    </row>
    <row r="612" spans="1:7" ht="15">
      <c r="A612" s="883"/>
      <c r="B612" s="899">
        <f>SUM(B604:B611)</f>
        <v>6854474.3830000004</v>
      </c>
      <c r="C612" s="899">
        <f t="shared" ref="C612:F612" si="283">SUM(C604:C611)</f>
        <v>1973500.3473999999</v>
      </c>
      <c r="D612" s="899">
        <f t="shared" si="283"/>
        <v>2400639.8514</v>
      </c>
      <c r="E612" s="899">
        <f t="shared" si="283"/>
        <v>1072212.8285999999</v>
      </c>
      <c r="F612" s="899">
        <f t="shared" si="283"/>
        <v>1364932.9475999998</v>
      </c>
      <c r="G612" s="899"/>
    </row>
    <row r="614" spans="1:7" ht="15">
      <c r="A614" s="476" t="s">
        <v>771</v>
      </c>
      <c r="B614" s="890">
        <v>43040</v>
      </c>
      <c r="C614" s="891" t="s">
        <v>1068</v>
      </c>
      <c r="D614" s="891" t="s">
        <v>1069</v>
      </c>
      <c r="E614" s="891" t="s">
        <v>1070</v>
      </c>
      <c r="F614" s="891" t="s">
        <v>1071</v>
      </c>
      <c r="G614" s="897" t="str">
        <f>G603</f>
        <v>TOD Energy Charge</v>
      </c>
    </row>
    <row r="615" spans="1:7">
      <c r="A615" s="883" t="str">
        <f>A604</f>
        <v>HT I</v>
      </c>
      <c r="B615" s="898">
        <f>B480*1.01</f>
        <v>5794402.3200000003</v>
      </c>
      <c r="C615" s="898">
        <f t="shared" ref="C615:F615" si="284">C480*1.01</f>
        <v>1536349.5012000003</v>
      </c>
      <c r="D615" s="898">
        <f t="shared" si="284"/>
        <v>2353962.8731</v>
      </c>
      <c r="E615" s="898">
        <f t="shared" si="284"/>
        <v>779786.96299999999</v>
      </c>
      <c r="F615" s="898">
        <f t="shared" si="284"/>
        <v>1124302.9827000003</v>
      </c>
      <c r="G615" s="898"/>
    </row>
    <row r="616" spans="1:7">
      <c r="A616" s="883" t="str">
        <f t="shared" ref="A616:A622" si="285">A605</f>
        <v>HTII</v>
      </c>
      <c r="B616" s="898">
        <f t="shared" ref="B616:F622" si="286">B481*1.01</f>
        <v>0</v>
      </c>
      <c r="C616" s="898">
        <f t="shared" si="286"/>
        <v>0</v>
      </c>
      <c r="D616" s="898">
        <f t="shared" si="286"/>
        <v>0</v>
      </c>
      <c r="E616" s="898">
        <f t="shared" si="286"/>
        <v>0</v>
      </c>
      <c r="F616" s="898">
        <f t="shared" si="286"/>
        <v>0</v>
      </c>
      <c r="G616" s="898"/>
    </row>
    <row r="617" spans="1:7">
      <c r="A617" s="883"/>
      <c r="B617" s="898">
        <f t="shared" si="286"/>
        <v>0</v>
      </c>
      <c r="C617" s="898">
        <f t="shared" si="286"/>
        <v>0</v>
      </c>
      <c r="D617" s="898">
        <f t="shared" si="286"/>
        <v>0</v>
      </c>
      <c r="E617" s="898">
        <f t="shared" si="286"/>
        <v>0</v>
      </c>
      <c r="F617" s="898">
        <f t="shared" si="286"/>
        <v>0</v>
      </c>
      <c r="G617" s="898"/>
    </row>
    <row r="618" spans="1:7">
      <c r="A618" s="883" t="str">
        <f t="shared" si="285"/>
        <v>LT I (G-P)</v>
      </c>
      <c r="B618" s="898">
        <f t="shared" si="286"/>
        <v>0</v>
      </c>
      <c r="C618" s="898">
        <f t="shared" si="286"/>
        <v>0</v>
      </c>
      <c r="D618" s="898">
        <f t="shared" si="286"/>
        <v>0</v>
      </c>
      <c r="E618" s="898">
        <f t="shared" si="286"/>
        <v>0</v>
      </c>
      <c r="F618" s="898">
        <f t="shared" si="286"/>
        <v>0</v>
      </c>
      <c r="G618" s="898"/>
    </row>
    <row r="619" spans="1:7">
      <c r="A619" s="883" t="str">
        <f t="shared" si="285"/>
        <v>LT II (A)</v>
      </c>
      <c r="B619" s="898">
        <f t="shared" si="286"/>
        <v>41931.160000000003</v>
      </c>
      <c r="C619" s="898">
        <f t="shared" si="286"/>
        <v>0</v>
      </c>
      <c r="D619" s="898">
        <f t="shared" si="286"/>
        <v>0</v>
      </c>
      <c r="E619" s="898">
        <f t="shared" si="286"/>
        <v>0</v>
      </c>
      <c r="F619" s="898">
        <f t="shared" si="286"/>
        <v>0</v>
      </c>
      <c r="G619" s="898"/>
    </row>
    <row r="620" spans="1:7">
      <c r="A620" s="883" t="str">
        <f t="shared" si="285"/>
        <v>LT II (B)</v>
      </c>
      <c r="B620" s="898">
        <f t="shared" si="286"/>
        <v>45148.313000000002</v>
      </c>
      <c r="C620" s="898">
        <f t="shared" si="286"/>
        <v>11945.764900000002</v>
      </c>
      <c r="D620" s="898">
        <f t="shared" si="286"/>
        <v>18151.689700000003</v>
      </c>
      <c r="E620" s="898">
        <f t="shared" si="286"/>
        <v>6234.9320000000025</v>
      </c>
      <c r="F620" s="898">
        <f t="shared" si="286"/>
        <v>8815.9264000000003</v>
      </c>
      <c r="G620" s="898"/>
    </row>
    <row r="621" spans="1:7">
      <c r="A621" s="883" t="str">
        <f t="shared" si="285"/>
        <v>LT III (A)</v>
      </c>
      <c r="B621" s="898">
        <f t="shared" si="286"/>
        <v>833.25</v>
      </c>
      <c r="C621" s="898">
        <f t="shared" si="286"/>
        <v>0</v>
      </c>
      <c r="D621" s="898">
        <f t="shared" si="286"/>
        <v>0</v>
      </c>
      <c r="E621" s="898">
        <f t="shared" si="286"/>
        <v>0</v>
      </c>
      <c r="F621" s="898">
        <f t="shared" si="286"/>
        <v>0</v>
      </c>
      <c r="G621" s="898"/>
    </row>
    <row r="622" spans="1:7">
      <c r="A622" s="883" t="str">
        <f t="shared" si="285"/>
        <v>LT III (B)</v>
      </c>
      <c r="B622" s="898">
        <f t="shared" si="286"/>
        <v>566052.48</v>
      </c>
      <c r="C622" s="898">
        <f t="shared" si="286"/>
        <v>150358.09399999995</v>
      </c>
      <c r="D622" s="898">
        <f t="shared" si="286"/>
        <v>231939.70269999999</v>
      </c>
      <c r="E622" s="898">
        <f t="shared" si="286"/>
        <v>77071.261799999993</v>
      </c>
      <c r="F622" s="898">
        <f t="shared" si="286"/>
        <v>106683.4215</v>
      </c>
      <c r="G622" s="898"/>
    </row>
    <row r="623" spans="1:7" ht="15">
      <c r="A623" s="883"/>
      <c r="B623" s="899">
        <f>SUM(B615:B622)</f>
        <v>6448367.523</v>
      </c>
      <c r="C623" s="899">
        <f t="shared" ref="C623" si="287">SUM(C615:C622)</f>
        <v>1698653.3601000004</v>
      </c>
      <c r="D623" s="899">
        <f t="shared" ref="D623" si="288">SUM(D615:D622)</f>
        <v>2604054.2654999997</v>
      </c>
      <c r="E623" s="899">
        <f t="shared" ref="E623" si="289">SUM(E615:E622)</f>
        <v>863093.1568</v>
      </c>
      <c r="F623" s="899">
        <f t="shared" ref="F623" si="290">SUM(F615:F622)</f>
        <v>1239802.3306000002</v>
      </c>
      <c r="G623" s="899"/>
    </row>
    <row r="625" spans="1:7" ht="15">
      <c r="A625" s="476" t="s">
        <v>771</v>
      </c>
      <c r="B625" s="890">
        <v>43070</v>
      </c>
      <c r="C625" s="891" t="s">
        <v>1068</v>
      </c>
      <c r="D625" s="891" t="s">
        <v>1069</v>
      </c>
      <c r="E625" s="891" t="s">
        <v>1070</v>
      </c>
      <c r="F625" s="891" t="s">
        <v>1071</v>
      </c>
      <c r="G625" s="897" t="str">
        <f>G614</f>
        <v>TOD Energy Charge</v>
      </c>
    </row>
    <row r="626" spans="1:7">
      <c r="A626" s="883" t="str">
        <f>A615</f>
        <v>HT I</v>
      </c>
      <c r="B626" s="898">
        <f>B491*1.01</f>
        <v>5920185.7000000002</v>
      </c>
      <c r="C626" s="898">
        <f t="shared" ref="C626:F626" si="291">C491*1.01</f>
        <v>1787949.4699999997</v>
      </c>
      <c r="D626" s="898">
        <f t="shared" si="291"/>
        <v>2286135</v>
      </c>
      <c r="E626" s="898">
        <f t="shared" si="291"/>
        <v>782900.49</v>
      </c>
      <c r="F626" s="898">
        <f t="shared" si="291"/>
        <v>1063200.74</v>
      </c>
      <c r="G626" s="898"/>
    </row>
    <row r="627" spans="1:7">
      <c r="A627" s="883" t="str">
        <f t="shared" ref="A627:A633" si="292">A616</f>
        <v>HTII</v>
      </c>
      <c r="B627" s="898">
        <f t="shared" ref="B627:F633" si="293">B492*1.01</f>
        <v>0</v>
      </c>
      <c r="C627" s="898">
        <f t="shared" si="293"/>
        <v>0</v>
      </c>
      <c r="D627" s="898">
        <f t="shared" si="293"/>
        <v>0</v>
      </c>
      <c r="E627" s="898">
        <f t="shared" si="293"/>
        <v>0</v>
      </c>
      <c r="F627" s="898">
        <f t="shared" si="293"/>
        <v>0</v>
      </c>
      <c r="G627" s="898"/>
    </row>
    <row r="628" spans="1:7">
      <c r="A628" s="883"/>
      <c r="B628" s="898">
        <f t="shared" si="293"/>
        <v>0</v>
      </c>
      <c r="C628" s="898">
        <f t="shared" si="293"/>
        <v>0</v>
      </c>
      <c r="D628" s="898">
        <f t="shared" si="293"/>
        <v>0</v>
      </c>
      <c r="E628" s="898">
        <f t="shared" si="293"/>
        <v>0</v>
      </c>
      <c r="F628" s="898">
        <f t="shared" si="293"/>
        <v>0</v>
      </c>
      <c r="G628" s="898"/>
    </row>
    <row r="629" spans="1:7">
      <c r="A629" s="883" t="str">
        <f t="shared" si="292"/>
        <v>LT I (G-P)</v>
      </c>
      <c r="B629" s="898">
        <f t="shared" si="293"/>
        <v>0</v>
      </c>
      <c r="C629" s="898">
        <f t="shared" si="293"/>
        <v>0</v>
      </c>
      <c r="D629" s="898">
        <f t="shared" si="293"/>
        <v>0</v>
      </c>
      <c r="E629" s="898">
        <f t="shared" si="293"/>
        <v>0</v>
      </c>
      <c r="F629" s="898">
        <f t="shared" si="293"/>
        <v>0</v>
      </c>
      <c r="G629" s="898"/>
    </row>
    <row r="630" spans="1:7">
      <c r="A630" s="883" t="str">
        <f t="shared" si="292"/>
        <v>LT II (A)</v>
      </c>
      <c r="B630" s="898">
        <f t="shared" si="293"/>
        <v>44193.256999999998</v>
      </c>
      <c r="C630" s="898">
        <f t="shared" si="293"/>
        <v>0</v>
      </c>
      <c r="D630" s="898">
        <f t="shared" si="293"/>
        <v>0</v>
      </c>
      <c r="E630" s="898">
        <f t="shared" si="293"/>
        <v>0</v>
      </c>
      <c r="F630" s="898">
        <f t="shared" si="293"/>
        <v>0</v>
      </c>
      <c r="G630" s="898"/>
    </row>
    <row r="631" spans="1:7">
      <c r="A631" s="883" t="str">
        <f t="shared" si="292"/>
        <v>LT II (B)</v>
      </c>
      <c r="B631" s="898">
        <f t="shared" si="293"/>
        <v>47672.504999999997</v>
      </c>
      <c r="C631" s="898">
        <f t="shared" si="293"/>
        <v>12664.995999999996</v>
      </c>
      <c r="D631" s="898">
        <f t="shared" si="293"/>
        <v>19609.048999999995</v>
      </c>
      <c r="E631" s="898">
        <f t="shared" si="293"/>
        <v>6407.136999999997</v>
      </c>
      <c r="F631" s="898">
        <f t="shared" si="293"/>
        <v>8991.3230000000003</v>
      </c>
      <c r="G631" s="898"/>
    </row>
    <row r="632" spans="1:7">
      <c r="A632" s="883" t="str">
        <f t="shared" si="292"/>
        <v>LT III (A)</v>
      </c>
      <c r="B632" s="898">
        <f t="shared" si="293"/>
        <v>692.15299999999991</v>
      </c>
      <c r="C632" s="898">
        <f t="shared" si="293"/>
        <v>0</v>
      </c>
      <c r="D632" s="898">
        <f t="shared" si="293"/>
        <v>0</v>
      </c>
      <c r="E632" s="898">
        <f t="shared" si="293"/>
        <v>0</v>
      </c>
      <c r="F632" s="898">
        <f t="shared" si="293"/>
        <v>0</v>
      </c>
      <c r="G632" s="898"/>
    </row>
    <row r="633" spans="1:7">
      <c r="A633" s="883" t="str">
        <f t="shared" si="292"/>
        <v>LT III (B)</v>
      </c>
      <c r="B633" s="898">
        <f t="shared" si="293"/>
        <v>579915.74</v>
      </c>
      <c r="C633" s="898">
        <f t="shared" si="293"/>
        <v>174800.29599999997</v>
      </c>
      <c r="D633" s="898">
        <f t="shared" si="293"/>
        <v>224736.71599999993</v>
      </c>
      <c r="E633" s="898">
        <f t="shared" si="293"/>
        <v>77969.171999999991</v>
      </c>
      <c r="F633" s="898">
        <f t="shared" si="293"/>
        <v>102409.55600000003</v>
      </c>
      <c r="G633" s="898"/>
    </row>
    <row r="634" spans="1:7" ht="15">
      <c r="A634" s="883"/>
      <c r="B634" s="899">
        <f>SUM(B626:B633)</f>
        <v>6592659.3550000004</v>
      </c>
      <c r="C634" s="899">
        <f t="shared" ref="C634" si="294">SUM(C626:C633)</f>
        <v>1975414.7619999996</v>
      </c>
      <c r="D634" s="899">
        <f t="shared" ref="D634" si="295">SUM(D626:D633)</f>
        <v>2530480.7650000001</v>
      </c>
      <c r="E634" s="899">
        <f t="shared" ref="E634" si="296">SUM(E626:E633)</f>
        <v>867276.799</v>
      </c>
      <c r="F634" s="899">
        <f t="shared" ref="F634" si="297">SUM(F626:F633)</f>
        <v>1174601.6190000002</v>
      </c>
      <c r="G634" s="899"/>
    </row>
    <row r="636" spans="1:7" ht="15">
      <c r="A636" s="476" t="s">
        <v>771</v>
      </c>
      <c r="B636" s="890">
        <v>43101</v>
      </c>
      <c r="C636" s="891" t="s">
        <v>1068</v>
      </c>
      <c r="D636" s="891" t="s">
        <v>1069</v>
      </c>
      <c r="E636" s="891" t="s">
        <v>1070</v>
      </c>
      <c r="F636" s="891" t="s">
        <v>1071</v>
      </c>
      <c r="G636" s="897" t="str">
        <f>G625</f>
        <v>TOD Energy Charge</v>
      </c>
    </row>
    <row r="637" spans="1:7">
      <c r="A637" s="883" t="str">
        <f>A626</f>
        <v>HT I</v>
      </c>
      <c r="B637" s="898">
        <f>B502*1.01</f>
        <v>5705106.2000000002</v>
      </c>
      <c r="C637" s="898">
        <f t="shared" ref="C637:F637" si="298">C502*1.01</f>
        <v>1538151.2098999999</v>
      </c>
      <c r="D637" s="898">
        <f t="shared" si="298"/>
        <v>2303698.5060999999</v>
      </c>
      <c r="E637" s="898">
        <f t="shared" si="298"/>
        <v>800618.24330000009</v>
      </c>
      <c r="F637" s="898">
        <f t="shared" si="298"/>
        <v>1062638.2407</v>
      </c>
      <c r="G637" s="898"/>
    </row>
    <row r="638" spans="1:7">
      <c r="A638" s="883" t="str">
        <f t="shared" ref="A638:A644" si="299">A627</f>
        <v>HTII</v>
      </c>
      <c r="B638" s="898">
        <f t="shared" ref="B638:F638" si="300">B503*1.01</f>
        <v>0</v>
      </c>
      <c r="C638" s="898">
        <f t="shared" si="300"/>
        <v>0</v>
      </c>
      <c r="D638" s="898">
        <f t="shared" si="300"/>
        <v>0</v>
      </c>
      <c r="E638" s="898">
        <f t="shared" si="300"/>
        <v>0</v>
      </c>
      <c r="F638" s="898">
        <f t="shared" si="300"/>
        <v>0</v>
      </c>
      <c r="G638" s="898"/>
    </row>
    <row r="639" spans="1:7">
      <c r="A639" s="883"/>
      <c r="B639" s="898">
        <f t="shared" ref="B639:F639" si="301">B504*1.01</f>
        <v>0</v>
      </c>
      <c r="C639" s="898">
        <f t="shared" si="301"/>
        <v>0</v>
      </c>
      <c r="D639" s="898">
        <f t="shared" si="301"/>
        <v>0</v>
      </c>
      <c r="E639" s="898">
        <f t="shared" si="301"/>
        <v>0</v>
      </c>
      <c r="F639" s="898">
        <f t="shared" si="301"/>
        <v>0</v>
      </c>
      <c r="G639" s="898"/>
    </row>
    <row r="640" spans="1:7">
      <c r="A640" s="883" t="str">
        <f t="shared" si="299"/>
        <v>LT I (G-P)</v>
      </c>
      <c r="B640" s="898">
        <f t="shared" ref="B640:F640" si="302">B505*1.01</f>
        <v>0</v>
      </c>
      <c r="C640" s="898">
        <f t="shared" si="302"/>
        <v>0</v>
      </c>
      <c r="D640" s="898">
        <f t="shared" si="302"/>
        <v>0</v>
      </c>
      <c r="E640" s="898">
        <f t="shared" si="302"/>
        <v>0</v>
      </c>
      <c r="F640" s="898">
        <f t="shared" si="302"/>
        <v>0</v>
      </c>
      <c r="G640" s="898"/>
    </row>
    <row r="641" spans="1:7">
      <c r="A641" s="883" t="str">
        <f t="shared" si="299"/>
        <v>LT II (A)</v>
      </c>
      <c r="B641" s="898">
        <f t="shared" ref="B641:F641" si="303">B506*1.01</f>
        <v>44457.271000000001</v>
      </c>
      <c r="C641" s="898">
        <f t="shared" si="303"/>
        <v>0</v>
      </c>
      <c r="D641" s="898">
        <f t="shared" si="303"/>
        <v>0</v>
      </c>
      <c r="E641" s="898">
        <f t="shared" si="303"/>
        <v>0</v>
      </c>
      <c r="F641" s="898">
        <f t="shared" si="303"/>
        <v>0</v>
      </c>
      <c r="G641" s="898"/>
    </row>
    <row r="642" spans="1:7">
      <c r="A642" s="883" t="str">
        <f t="shared" si="299"/>
        <v>LT II (B)</v>
      </c>
      <c r="B642" s="898">
        <f t="shared" ref="B642:F642" si="304">B507*1.01</f>
        <v>48714.32</v>
      </c>
      <c r="C642" s="898">
        <f t="shared" si="304"/>
        <v>12278.267000000002</v>
      </c>
      <c r="D642" s="898">
        <f t="shared" si="304"/>
        <v>20408.060000000001</v>
      </c>
      <c r="E642" s="898">
        <f t="shared" si="304"/>
        <v>6769.5249999999996</v>
      </c>
      <c r="F642" s="898">
        <f t="shared" si="304"/>
        <v>9258.4679999999989</v>
      </c>
      <c r="G642" s="898"/>
    </row>
    <row r="643" spans="1:7">
      <c r="A643" s="883" t="str">
        <f t="shared" si="299"/>
        <v>LT III (A)</v>
      </c>
      <c r="B643" s="898">
        <f t="shared" ref="B643:F643" si="305">B508*1.01</f>
        <v>643.471</v>
      </c>
      <c r="C643" s="898">
        <f t="shared" si="305"/>
        <v>0</v>
      </c>
      <c r="D643" s="898">
        <f t="shared" si="305"/>
        <v>0</v>
      </c>
      <c r="E643" s="898">
        <f t="shared" si="305"/>
        <v>0</v>
      </c>
      <c r="F643" s="898">
        <f t="shared" si="305"/>
        <v>0</v>
      </c>
      <c r="G643" s="898"/>
    </row>
    <row r="644" spans="1:7">
      <c r="A644" s="883" t="str">
        <f t="shared" si="299"/>
        <v>LT III (B)</v>
      </c>
      <c r="B644" s="898">
        <f t="shared" ref="B644:F644" si="306">B509*1.01</f>
        <v>568322.96</v>
      </c>
      <c r="C644" s="898">
        <f t="shared" si="306"/>
        <v>153423.44399999999</v>
      </c>
      <c r="D644" s="898">
        <f t="shared" si="306"/>
        <v>229631.58000000002</v>
      </c>
      <c r="E644" s="898">
        <f t="shared" si="306"/>
        <v>81787.78</v>
      </c>
      <c r="F644" s="898">
        <f t="shared" si="306"/>
        <v>103480.156</v>
      </c>
      <c r="G644" s="898"/>
    </row>
    <row r="645" spans="1:7" ht="15">
      <c r="A645" s="883"/>
      <c r="B645" s="899">
        <f>SUM(B637:B644)</f>
        <v>6367244.2220000001</v>
      </c>
      <c r="C645" s="899">
        <f t="shared" ref="C645" si="307">SUM(C637:C644)</f>
        <v>1703852.9208999998</v>
      </c>
      <c r="D645" s="899">
        <f t="shared" ref="D645" si="308">SUM(D637:D644)</f>
        <v>2553738.1461</v>
      </c>
      <c r="E645" s="899">
        <f t="shared" ref="E645" si="309">SUM(E637:E644)</f>
        <v>889175.54830000014</v>
      </c>
      <c r="F645" s="899">
        <f t="shared" ref="F645" si="310">SUM(F637:F644)</f>
        <v>1175376.8647</v>
      </c>
      <c r="G645" s="899"/>
    </row>
    <row r="647" spans="1:7" ht="15">
      <c r="A647" s="476" t="s">
        <v>771</v>
      </c>
      <c r="B647" s="890">
        <v>43132</v>
      </c>
      <c r="C647" s="891" t="s">
        <v>1068</v>
      </c>
      <c r="D647" s="891" t="s">
        <v>1069</v>
      </c>
      <c r="E647" s="891" t="s">
        <v>1070</v>
      </c>
      <c r="F647" s="891" t="s">
        <v>1071</v>
      </c>
      <c r="G647" s="897" t="str">
        <f>G636</f>
        <v>TOD Energy Charge</v>
      </c>
    </row>
    <row r="648" spans="1:7">
      <c r="A648" s="883" t="str">
        <f>A637</f>
        <v>HT I</v>
      </c>
      <c r="B648" s="898">
        <f>B513*1.01</f>
        <v>5518439.6159999995</v>
      </c>
      <c r="C648" s="898">
        <f t="shared" ref="C648:F648" si="311">C513*1.01</f>
        <v>1455626.0087000001</v>
      </c>
      <c r="D648" s="898">
        <f t="shared" si="311"/>
        <v>2281391.5450999998</v>
      </c>
      <c r="E648" s="898">
        <f t="shared" si="311"/>
        <v>746233.30859999999</v>
      </c>
      <c r="F648" s="898">
        <f t="shared" si="311"/>
        <v>1035188.7535999999</v>
      </c>
      <c r="G648" s="898"/>
    </row>
    <row r="649" spans="1:7">
      <c r="A649" s="883" t="str">
        <f t="shared" ref="A649:A655" si="312">A638</f>
        <v>HTII</v>
      </c>
      <c r="B649" s="898">
        <f t="shared" ref="B649:F649" si="313">B514*1.01</f>
        <v>0</v>
      </c>
      <c r="C649" s="898">
        <f t="shared" si="313"/>
        <v>0</v>
      </c>
      <c r="D649" s="898">
        <f t="shared" si="313"/>
        <v>0</v>
      </c>
      <c r="E649" s="898">
        <f t="shared" si="313"/>
        <v>0</v>
      </c>
      <c r="F649" s="898">
        <f t="shared" si="313"/>
        <v>0</v>
      </c>
      <c r="G649" s="898"/>
    </row>
    <row r="650" spans="1:7">
      <c r="A650" s="883"/>
      <c r="B650" s="898">
        <f t="shared" ref="B650:F650" si="314">B515*1.01</f>
        <v>0</v>
      </c>
      <c r="C650" s="898">
        <f t="shared" si="314"/>
        <v>0</v>
      </c>
      <c r="D650" s="898">
        <f t="shared" si="314"/>
        <v>0</v>
      </c>
      <c r="E650" s="898">
        <f t="shared" si="314"/>
        <v>0</v>
      </c>
      <c r="F650" s="898">
        <f t="shared" si="314"/>
        <v>0</v>
      </c>
      <c r="G650" s="898"/>
    </row>
    <row r="651" spans="1:7">
      <c r="A651" s="883" t="str">
        <f t="shared" si="312"/>
        <v>LT I (G-P)</v>
      </c>
      <c r="B651" s="898">
        <f t="shared" ref="B651:F651" si="315">B516*1.01</f>
        <v>0</v>
      </c>
      <c r="C651" s="898">
        <f t="shared" si="315"/>
        <v>0</v>
      </c>
      <c r="D651" s="898">
        <f t="shared" si="315"/>
        <v>0</v>
      </c>
      <c r="E651" s="898">
        <f t="shared" si="315"/>
        <v>0</v>
      </c>
      <c r="F651" s="898">
        <f t="shared" si="315"/>
        <v>0</v>
      </c>
      <c r="G651" s="898"/>
    </row>
    <row r="652" spans="1:7">
      <c r="A652" s="883" t="str">
        <f t="shared" si="312"/>
        <v>LT II (A)</v>
      </c>
      <c r="B652" s="898">
        <f t="shared" ref="B652:F652" si="316">B517*1.01</f>
        <v>40326.6538</v>
      </c>
      <c r="C652" s="898">
        <f t="shared" si="316"/>
        <v>0</v>
      </c>
      <c r="D652" s="898">
        <f t="shared" si="316"/>
        <v>0</v>
      </c>
      <c r="E652" s="898">
        <f t="shared" si="316"/>
        <v>0</v>
      </c>
      <c r="F652" s="898">
        <f t="shared" si="316"/>
        <v>0</v>
      </c>
      <c r="G652" s="898"/>
    </row>
    <row r="653" spans="1:7">
      <c r="A653" s="883" t="str">
        <f t="shared" si="312"/>
        <v>LT II (B)</v>
      </c>
      <c r="B653" s="898">
        <f t="shared" ref="B653:F653" si="317">B518*1.01</f>
        <v>45416.468000000001</v>
      </c>
      <c r="C653" s="898">
        <f t="shared" si="317"/>
        <v>11456.632000000001</v>
      </c>
      <c r="D653" s="898">
        <f t="shared" si="317"/>
        <v>19100.009000000002</v>
      </c>
      <c r="E653" s="898">
        <f t="shared" si="317"/>
        <v>6284.22</v>
      </c>
      <c r="F653" s="898">
        <f t="shared" si="317"/>
        <v>8575.607</v>
      </c>
      <c r="G653" s="898"/>
    </row>
    <row r="654" spans="1:7">
      <c r="A654" s="883" t="str">
        <f t="shared" si="312"/>
        <v>LT III (A)</v>
      </c>
      <c r="B654" s="898">
        <f t="shared" ref="B654:F654" si="318">B519*1.01</f>
        <v>600.04100000000005</v>
      </c>
      <c r="C654" s="898">
        <f t="shared" si="318"/>
        <v>0</v>
      </c>
      <c r="D654" s="898">
        <f t="shared" si="318"/>
        <v>0</v>
      </c>
      <c r="E654" s="898">
        <f t="shared" si="318"/>
        <v>0</v>
      </c>
      <c r="F654" s="898">
        <f t="shared" si="318"/>
        <v>0</v>
      </c>
      <c r="G654" s="898"/>
    </row>
    <row r="655" spans="1:7">
      <c r="A655" s="883" t="str">
        <f t="shared" si="312"/>
        <v>LT III (B)</v>
      </c>
      <c r="B655" s="898">
        <f t="shared" ref="B655:F655" si="319">B520*1.01</f>
        <v>537623.57570000004</v>
      </c>
      <c r="C655" s="898">
        <f t="shared" si="319"/>
        <v>144256.28</v>
      </c>
      <c r="D655" s="898">
        <f t="shared" si="319"/>
        <v>219982.61569999999</v>
      </c>
      <c r="E655" s="898">
        <f t="shared" si="319"/>
        <v>74780.399999999994</v>
      </c>
      <c r="F655" s="898">
        <f t="shared" si="319"/>
        <v>98604.28</v>
      </c>
      <c r="G655" s="898"/>
    </row>
    <row r="656" spans="1:7" ht="15">
      <c r="A656" s="883"/>
      <c r="B656" s="899">
        <f>SUM(B648:B655)</f>
        <v>6142406.3545000004</v>
      </c>
      <c r="C656" s="899">
        <f t="shared" ref="C656" si="320">SUM(C648:C655)</f>
        <v>1611338.9207000001</v>
      </c>
      <c r="D656" s="899">
        <f t="shared" ref="D656" si="321">SUM(D648:D655)</f>
        <v>2520474.1697999998</v>
      </c>
      <c r="E656" s="899">
        <f t="shared" ref="E656" si="322">SUM(E648:E655)</f>
        <v>827297.92859999998</v>
      </c>
      <c r="F656" s="899">
        <f t="shared" ref="F656" si="323">SUM(F648:F655)</f>
        <v>1142368.6405999998</v>
      </c>
      <c r="G656" s="899"/>
    </row>
    <row r="658" spans="1:7" ht="15">
      <c r="A658" s="476" t="s">
        <v>771</v>
      </c>
      <c r="B658" s="890">
        <v>43160</v>
      </c>
      <c r="C658" s="891" t="s">
        <v>1068</v>
      </c>
      <c r="D658" s="891" t="s">
        <v>1069</v>
      </c>
      <c r="E658" s="891" t="s">
        <v>1070</v>
      </c>
      <c r="F658" s="891" t="s">
        <v>1071</v>
      </c>
      <c r="G658" s="897" t="str">
        <f>G647</f>
        <v>TOD Energy Charge</v>
      </c>
    </row>
    <row r="659" spans="1:7">
      <c r="A659" s="883" t="str">
        <f>A648</f>
        <v>HT I</v>
      </c>
      <c r="B659" s="898">
        <f>B524*1.01</f>
        <v>6560003.9239000008</v>
      </c>
      <c r="C659" s="898">
        <f t="shared" ref="C659:F659" si="324">C524*1.01</f>
        <v>1788090.0014000002</v>
      </c>
      <c r="D659" s="898">
        <f t="shared" si="324"/>
        <v>2549670.1792000001</v>
      </c>
      <c r="E659" s="898">
        <f t="shared" si="324"/>
        <v>1006285.6947</v>
      </c>
      <c r="F659" s="898">
        <f t="shared" si="324"/>
        <v>1215958.0485999999</v>
      </c>
      <c r="G659" s="898"/>
    </row>
    <row r="660" spans="1:7">
      <c r="A660" s="883" t="str">
        <f t="shared" ref="A660:A666" si="325">A649</f>
        <v>HTII</v>
      </c>
      <c r="B660" s="898">
        <f t="shared" ref="B660:F660" si="326">B525*1.01</f>
        <v>0</v>
      </c>
      <c r="C660" s="898">
        <f t="shared" si="326"/>
        <v>0</v>
      </c>
      <c r="D660" s="898">
        <f t="shared" si="326"/>
        <v>0</v>
      </c>
      <c r="E660" s="898">
        <f t="shared" si="326"/>
        <v>0</v>
      </c>
      <c r="F660" s="898">
        <f t="shared" si="326"/>
        <v>0</v>
      </c>
      <c r="G660" s="898"/>
    </row>
    <row r="661" spans="1:7">
      <c r="A661" s="883"/>
      <c r="B661" s="898">
        <f t="shared" ref="B661:F661" si="327">B526*1.01</f>
        <v>0</v>
      </c>
      <c r="C661" s="898">
        <f t="shared" si="327"/>
        <v>0</v>
      </c>
      <c r="D661" s="898">
        <f t="shared" si="327"/>
        <v>0</v>
      </c>
      <c r="E661" s="898">
        <f t="shared" si="327"/>
        <v>0</v>
      </c>
      <c r="F661" s="898">
        <f t="shared" si="327"/>
        <v>0</v>
      </c>
      <c r="G661" s="898"/>
    </row>
    <row r="662" spans="1:7">
      <c r="A662" s="883" t="str">
        <f t="shared" si="325"/>
        <v>LT I (G-P)</v>
      </c>
      <c r="B662" s="898">
        <f t="shared" ref="B662:F662" si="328">B527*1.01</f>
        <v>0</v>
      </c>
      <c r="C662" s="898">
        <f t="shared" si="328"/>
        <v>0</v>
      </c>
      <c r="D662" s="898">
        <f t="shared" si="328"/>
        <v>0</v>
      </c>
      <c r="E662" s="898">
        <f t="shared" si="328"/>
        <v>0</v>
      </c>
      <c r="F662" s="898">
        <f t="shared" si="328"/>
        <v>0</v>
      </c>
      <c r="G662" s="898"/>
    </row>
    <row r="663" spans="1:7">
      <c r="A663" s="883" t="str">
        <f t="shared" si="325"/>
        <v>LT II (A)</v>
      </c>
      <c r="B663" s="898">
        <f t="shared" ref="B663:F663" si="329">B528*1.01</f>
        <v>47313.046000000017</v>
      </c>
      <c r="C663" s="898">
        <f t="shared" si="329"/>
        <v>0</v>
      </c>
      <c r="D663" s="898">
        <f t="shared" si="329"/>
        <v>0</v>
      </c>
      <c r="E663" s="898">
        <f t="shared" si="329"/>
        <v>0</v>
      </c>
      <c r="F663" s="898">
        <f t="shared" si="329"/>
        <v>0</v>
      </c>
      <c r="G663" s="898"/>
    </row>
    <row r="664" spans="1:7">
      <c r="A664" s="883" t="str">
        <f t="shared" si="325"/>
        <v>LT II (B)</v>
      </c>
      <c r="B664" s="898">
        <f t="shared" ref="B664:F664" si="330">B529*1.01</f>
        <v>58020.763000000006</v>
      </c>
      <c r="C664" s="898">
        <f t="shared" si="330"/>
        <v>14038.596000000001</v>
      </c>
      <c r="D664" s="898">
        <f t="shared" si="330"/>
        <v>23627.334000000003</v>
      </c>
      <c r="E664" s="898">
        <f t="shared" si="330"/>
        <v>8086.0600000000013</v>
      </c>
      <c r="F664" s="898">
        <f t="shared" si="330"/>
        <v>12268.773000000001</v>
      </c>
      <c r="G664" s="898"/>
    </row>
    <row r="665" spans="1:7">
      <c r="A665" s="883" t="str">
        <f t="shared" si="325"/>
        <v>LT III (A)</v>
      </c>
      <c r="B665" s="898">
        <f t="shared" ref="B665:F665" si="331">B530*1.01</f>
        <v>643.774</v>
      </c>
      <c r="C665" s="898">
        <f t="shared" si="331"/>
        <v>0</v>
      </c>
      <c r="D665" s="898">
        <f t="shared" si="331"/>
        <v>0</v>
      </c>
      <c r="E665" s="898">
        <f t="shared" si="331"/>
        <v>0</v>
      </c>
      <c r="F665" s="898">
        <f t="shared" si="331"/>
        <v>0</v>
      </c>
      <c r="G665" s="898"/>
    </row>
    <row r="666" spans="1:7">
      <c r="A666" s="883" t="str">
        <f t="shared" si="325"/>
        <v>LT III (B)</v>
      </c>
      <c r="B666" s="898">
        <f t="shared" ref="B666:F666" si="332">B531*1.01</f>
        <v>611702.46</v>
      </c>
      <c r="C666" s="898">
        <f t="shared" si="332"/>
        <v>163807.86000000002</v>
      </c>
      <c r="D666" s="898">
        <f t="shared" si="332"/>
        <v>250964.8</v>
      </c>
      <c r="E666" s="898">
        <f t="shared" si="332"/>
        <v>84054.22</v>
      </c>
      <c r="F666" s="898">
        <f t="shared" si="332"/>
        <v>112875.58</v>
      </c>
      <c r="G666" s="898"/>
    </row>
    <row r="667" spans="1:7" ht="15">
      <c r="A667" s="883"/>
      <c r="B667" s="899">
        <f>SUM(B659:B666)</f>
        <v>7277683.9669000013</v>
      </c>
      <c r="C667" s="899">
        <f t="shared" ref="C667" si="333">SUM(C659:C666)</f>
        <v>1965936.4574000002</v>
      </c>
      <c r="D667" s="899">
        <f t="shared" ref="D667" si="334">SUM(D659:D666)</f>
        <v>2824262.3131999997</v>
      </c>
      <c r="E667" s="899">
        <f t="shared" ref="E667" si="335">SUM(E659:E666)</f>
        <v>1098425.9747000001</v>
      </c>
      <c r="F667" s="899">
        <f t="shared" ref="F667" si="336">SUM(F659:F666)</f>
        <v>1341102.4016</v>
      </c>
      <c r="G667" s="899"/>
    </row>
  </sheetData>
  <mergeCells count="2">
    <mergeCell ref="B375:F375"/>
    <mergeCell ref="G375:G376"/>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C00000"/>
  </sheetPr>
  <dimension ref="B3:V40"/>
  <sheetViews>
    <sheetView topLeftCell="I1" zoomScaleNormal="100" workbookViewId="0">
      <selection activeCell="C17" sqref="C17"/>
    </sheetView>
  </sheetViews>
  <sheetFormatPr defaultRowHeight="15.75"/>
  <cols>
    <col min="1" max="1" width="9.140625" style="1030"/>
    <col min="2" max="2" width="37" style="1030" customWidth="1"/>
    <col min="3" max="3" width="10.42578125" style="1030" hidden="1" customWidth="1"/>
    <col min="4" max="6" width="11.28515625" style="1030" hidden="1" customWidth="1"/>
    <col min="7" max="7" width="10.5703125" style="1030" customWidth="1"/>
    <col min="8" max="10" width="11.7109375" style="1030" customWidth="1"/>
    <col min="11" max="11" width="11" style="1030" customWidth="1"/>
    <col min="12" max="13" width="11.7109375" style="1030" customWidth="1"/>
    <col min="14" max="14" width="11.140625" style="1030" customWidth="1"/>
    <col min="15" max="22" width="11.7109375" style="1030" customWidth="1"/>
    <col min="23" max="30" width="12.140625" style="1030" customWidth="1"/>
    <col min="31" max="16384" width="9.140625" style="1030"/>
  </cols>
  <sheetData>
    <row r="3" spans="2:22">
      <c r="B3" s="1588" t="s">
        <v>252</v>
      </c>
      <c r="C3" s="1591" t="s">
        <v>1224</v>
      </c>
      <c r="D3" s="1591"/>
      <c r="E3" s="1591"/>
      <c r="F3" s="1591"/>
      <c r="G3" s="1592" t="s">
        <v>1215</v>
      </c>
      <c r="H3" s="1592"/>
      <c r="I3" s="1592"/>
      <c r="J3" s="1592"/>
      <c r="K3" s="1591" t="s">
        <v>1213</v>
      </c>
      <c r="L3" s="1591"/>
      <c r="M3" s="1591"/>
      <c r="N3" s="1591"/>
      <c r="O3" s="1592" t="s">
        <v>1216</v>
      </c>
      <c r="P3" s="1592"/>
      <c r="Q3" s="1592"/>
      <c r="R3" s="1592"/>
      <c r="S3" s="1591" t="s">
        <v>1214</v>
      </c>
      <c r="T3" s="1591"/>
      <c r="U3" s="1591"/>
      <c r="V3" s="1591"/>
    </row>
    <row r="4" spans="2:22" ht="31.5">
      <c r="B4" s="1589"/>
      <c r="C4" s="1031" t="s">
        <v>1211</v>
      </c>
      <c r="D4" s="1031" t="s">
        <v>832</v>
      </c>
      <c r="E4" s="1031" t="s">
        <v>834</v>
      </c>
      <c r="F4" s="1031" t="s">
        <v>833</v>
      </c>
      <c r="G4" s="1045" t="s">
        <v>1211</v>
      </c>
      <c r="H4" s="1045" t="s">
        <v>832</v>
      </c>
      <c r="I4" s="1045" t="s">
        <v>834</v>
      </c>
      <c r="J4" s="1045" t="s">
        <v>833</v>
      </c>
      <c r="K4" s="1031" t="s">
        <v>1211</v>
      </c>
      <c r="L4" s="1031" t="s">
        <v>832</v>
      </c>
      <c r="M4" s="1031" t="s">
        <v>834</v>
      </c>
      <c r="N4" s="1031" t="s">
        <v>833</v>
      </c>
      <c r="O4" s="1045" t="s">
        <v>1211</v>
      </c>
      <c r="P4" s="1045" t="s">
        <v>832</v>
      </c>
      <c r="Q4" s="1045" t="s">
        <v>834</v>
      </c>
      <c r="R4" s="1045" t="s">
        <v>833</v>
      </c>
      <c r="S4" s="1031" t="s">
        <v>1211</v>
      </c>
      <c r="T4" s="1031" t="s">
        <v>832</v>
      </c>
      <c r="U4" s="1031" t="s">
        <v>834</v>
      </c>
      <c r="V4" s="1031" t="s">
        <v>833</v>
      </c>
    </row>
    <row r="5" spans="2:22" ht="31.5">
      <c r="B5" s="1590"/>
      <c r="C5" s="1031" t="s">
        <v>1212</v>
      </c>
      <c r="D5" s="1031" t="s">
        <v>1225</v>
      </c>
      <c r="E5" s="1031" t="s">
        <v>407</v>
      </c>
      <c r="F5" s="1031" t="s">
        <v>407</v>
      </c>
      <c r="G5" s="1045" t="s">
        <v>1212</v>
      </c>
      <c r="H5" s="1045" t="s">
        <v>1225</v>
      </c>
      <c r="I5" s="1045" t="s">
        <v>407</v>
      </c>
      <c r="J5" s="1045" t="s">
        <v>407</v>
      </c>
      <c r="K5" s="1031" t="s">
        <v>1212</v>
      </c>
      <c r="L5" s="1031" t="s">
        <v>1225</v>
      </c>
      <c r="M5" s="1031" t="s">
        <v>407</v>
      </c>
      <c r="N5" s="1031" t="s">
        <v>407</v>
      </c>
      <c r="O5" s="1045" t="s">
        <v>1212</v>
      </c>
      <c r="P5" s="1045" t="s">
        <v>1225</v>
      </c>
      <c r="Q5" s="1045" t="s">
        <v>407</v>
      </c>
      <c r="R5" s="1045" t="s">
        <v>407</v>
      </c>
      <c r="S5" s="1031" t="s">
        <v>1212</v>
      </c>
      <c r="T5" s="1031" t="s">
        <v>1225</v>
      </c>
      <c r="U5" s="1031" t="s">
        <v>407</v>
      </c>
      <c r="V5" s="1031" t="s">
        <v>407</v>
      </c>
    </row>
    <row r="6" spans="2:22" s="1032" customFormat="1" ht="21.75" customHeight="1">
      <c r="B6" s="1033" t="s">
        <v>267</v>
      </c>
      <c r="C6" s="1039"/>
      <c r="D6" s="1039"/>
      <c r="E6" s="1039"/>
      <c r="F6" s="1039"/>
      <c r="G6" s="1042"/>
      <c r="H6" s="1042"/>
      <c r="I6" s="1042"/>
      <c r="J6" s="1042"/>
      <c r="K6" s="1039"/>
      <c r="L6" s="1039"/>
      <c r="M6" s="1039"/>
      <c r="N6" s="1039"/>
      <c r="O6" s="1042"/>
      <c r="P6" s="1042"/>
      <c r="Q6" s="1042"/>
      <c r="R6" s="1042"/>
      <c r="S6" s="1039"/>
      <c r="T6" s="1039"/>
      <c r="U6" s="1039"/>
      <c r="V6" s="1039"/>
    </row>
    <row r="7" spans="2:22" s="1032" customFormat="1" ht="21.75" customHeight="1">
      <c r="B7" s="1034" t="s">
        <v>1217</v>
      </c>
      <c r="C7" s="1040">
        <f>+'F13.2'!D14</f>
        <v>0</v>
      </c>
      <c r="D7" s="1040">
        <f>+'F13.2'!E14</f>
        <v>190</v>
      </c>
      <c r="E7" s="1041">
        <f>+'F13.2'!F14</f>
        <v>0.95</v>
      </c>
      <c r="F7" s="1041">
        <f>+'F13.2'!G14</f>
        <v>4.2699999999999996</v>
      </c>
      <c r="G7" s="1043"/>
      <c r="H7" s="1043">
        <f>+'F13.2'!E14</f>
        <v>190</v>
      </c>
      <c r="I7" s="1044">
        <f>+'F13.2'!F14</f>
        <v>0.95</v>
      </c>
      <c r="J7" s="1044">
        <f>+'F13.2'!G14</f>
        <v>4.2699999999999996</v>
      </c>
      <c r="K7" s="1040">
        <f>+'F14.1'!D14</f>
        <v>0</v>
      </c>
      <c r="L7" s="1040">
        <f>+'F14.1'!E14</f>
        <v>270</v>
      </c>
      <c r="M7" s="1041">
        <f ca="1">+'F14.1'!F14</f>
        <v>1.3385446192075825</v>
      </c>
      <c r="N7" s="1041">
        <f>+'F14.1'!G14</f>
        <v>4.3199999999999994</v>
      </c>
      <c r="O7" s="1043">
        <f>+'F13.3'!D14</f>
        <v>0</v>
      </c>
      <c r="P7" s="1043">
        <f>+'F13.3'!E14</f>
        <v>190</v>
      </c>
      <c r="Q7" s="1044">
        <f>+'F13.3'!F14</f>
        <v>0.95</v>
      </c>
      <c r="R7" s="1044">
        <f>+'F13.3'!G14</f>
        <v>4.34</v>
      </c>
      <c r="S7" s="1040">
        <f>+'F14.2'!D14</f>
        <v>0</v>
      </c>
      <c r="T7" s="1040">
        <f>+'F14.2'!E14</f>
        <v>290</v>
      </c>
      <c r="U7" s="1041">
        <f>+'F14.2'!F14</f>
        <v>1.3565161708151909</v>
      </c>
      <c r="V7" s="1041">
        <f>+'F14.2'!G14</f>
        <v>5.1199999999999992</v>
      </c>
    </row>
    <row r="8" spans="2:22" s="1032" customFormat="1" ht="21.75" customHeight="1">
      <c r="B8" s="1034" t="s">
        <v>1218</v>
      </c>
      <c r="C8" s="1040">
        <f>+'F13.2'!D20</f>
        <v>0</v>
      </c>
      <c r="D8" s="1040">
        <f>+'F13.2'!E20</f>
        <v>190</v>
      </c>
      <c r="E8" s="1041">
        <f>+'F13.2'!F20</f>
        <v>0.95</v>
      </c>
      <c r="F8" s="1041">
        <f>+'F13.2'!G20</f>
        <v>4.25</v>
      </c>
      <c r="G8" s="1043"/>
      <c r="H8" s="1043">
        <f>+'F13.2'!E20</f>
        <v>190</v>
      </c>
      <c r="I8" s="1044">
        <f>+'F13.2'!F20</f>
        <v>0.95</v>
      </c>
      <c r="J8" s="1044">
        <f>+'F13.2'!G20</f>
        <v>4.25</v>
      </c>
      <c r="K8" s="1040">
        <f>+'F14.1'!D20</f>
        <v>0</v>
      </c>
      <c r="L8" s="1040">
        <f>+'F14.1'!E20</f>
        <v>270</v>
      </c>
      <c r="M8" s="1041">
        <f ca="1">+'F14.1'!F20</f>
        <v>1.3385446192075825</v>
      </c>
      <c r="N8" s="1041">
        <f>+'F14.1'!G20</f>
        <v>4.5</v>
      </c>
      <c r="O8" s="1043">
        <f>+'F13.3'!D20</f>
        <v>0</v>
      </c>
      <c r="P8" s="1043">
        <f>+'F13.3'!E20</f>
        <v>190</v>
      </c>
      <c r="Q8" s="1044">
        <f>+'F13.3'!F20</f>
        <v>0.95</v>
      </c>
      <c r="R8" s="1044">
        <f>+'F13.3'!G20</f>
        <v>4.75</v>
      </c>
      <c r="S8" s="1040">
        <f>+'F14.2'!D20</f>
        <v>0</v>
      </c>
      <c r="T8" s="1040">
        <f>+'F14.2'!E20</f>
        <v>290</v>
      </c>
      <c r="U8" s="1041">
        <f>+'F14.2'!F20</f>
        <v>1.3565161708151909</v>
      </c>
      <c r="V8" s="1041">
        <f>+'F14.2'!G20</f>
        <v>5.45</v>
      </c>
    </row>
    <row r="9" spans="2:22" s="1032" customFormat="1" ht="21.75" customHeight="1">
      <c r="B9" s="1033" t="s">
        <v>270</v>
      </c>
      <c r="C9" s="1040"/>
      <c r="D9" s="1040"/>
      <c r="E9" s="1041"/>
      <c r="F9" s="1041"/>
      <c r="G9" s="1043"/>
      <c r="H9" s="1043"/>
      <c r="I9" s="1044"/>
      <c r="J9" s="1044"/>
      <c r="K9" s="1040"/>
      <c r="L9" s="1040"/>
      <c r="M9" s="1041"/>
      <c r="N9" s="1041"/>
      <c r="O9" s="1043"/>
      <c r="P9" s="1043"/>
      <c r="Q9" s="1044"/>
      <c r="R9" s="1044"/>
      <c r="S9" s="1040"/>
      <c r="T9" s="1040"/>
      <c r="U9" s="1041"/>
      <c r="V9" s="1041"/>
    </row>
    <row r="10" spans="2:22" s="1032" customFormat="1" ht="21.75" customHeight="1">
      <c r="B10" s="1034" t="s">
        <v>1219</v>
      </c>
      <c r="C10" s="1040">
        <f>+'F13.2'!D29</f>
        <v>190</v>
      </c>
      <c r="D10" s="1040">
        <f>+'F13.2'!E29</f>
        <v>0</v>
      </c>
      <c r="E10" s="1041">
        <f>+'F13.2'!F29</f>
        <v>0.95</v>
      </c>
      <c r="F10" s="1041">
        <f>+'F13.2'!G29</f>
        <v>4.46</v>
      </c>
      <c r="G10" s="1043">
        <f>+'F13.2'!D29</f>
        <v>190</v>
      </c>
      <c r="H10" s="1043">
        <f>+'F13.2'!E29</f>
        <v>0</v>
      </c>
      <c r="I10" s="1044">
        <f>+'F13.2'!F29</f>
        <v>0.95</v>
      </c>
      <c r="J10" s="1044">
        <f>+'F13.2'!G29</f>
        <v>4.46</v>
      </c>
      <c r="K10" s="1040">
        <f>+'F14.1'!D29</f>
        <v>270</v>
      </c>
      <c r="L10" s="1040">
        <f>+'F14.1'!E29</f>
        <v>0</v>
      </c>
      <c r="M10" s="1041">
        <f ca="1">+'F14.1'!F29</f>
        <v>1.3385446192075825</v>
      </c>
      <c r="N10" s="1041">
        <f>+'F14.1'!G29</f>
        <v>4.8499999999999996</v>
      </c>
      <c r="O10" s="1043">
        <f>+'F13.3'!D29</f>
        <v>190</v>
      </c>
      <c r="P10" s="1043">
        <f>+'F13.3'!E29</f>
        <v>0</v>
      </c>
      <c r="Q10" s="1044">
        <f>+'F13.3'!F29</f>
        <v>0.95</v>
      </c>
      <c r="R10" s="1044">
        <f>+'F13.3'!G29</f>
        <v>4.46</v>
      </c>
      <c r="S10" s="1040">
        <f>+'F14.2'!D29</f>
        <v>290</v>
      </c>
      <c r="T10" s="1040">
        <f>+'F14.2'!E29</f>
        <v>0</v>
      </c>
      <c r="U10" s="1041">
        <f>+'F14.2'!F29</f>
        <v>1.3565161708151909</v>
      </c>
      <c r="V10" s="1041">
        <f>+'F14.2'!G29</f>
        <v>5.85</v>
      </c>
    </row>
    <row r="11" spans="2:22" s="1032" customFormat="1" ht="21.75" customHeight="1">
      <c r="B11" s="1034" t="s">
        <v>1220</v>
      </c>
      <c r="C11" s="1040">
        <f>+'F13.2'!D30</f>
        <v>190</v>
      </c>
      <c r="D11" s="1040">
        <f>+'F13.2'!E30</f>
        <v>0</v>
      </c>
      <c r="E11" s="1041">
        <f>+'F13.2'!F30</f>
        <v>0.95</v>
      </c>
      <c r="F11" s="1041">
        <f>+'F13.2'!G30</f>
        <v>4.55</v>
      </c>
      <c r="G11" s="1043">
        <f>+'F13.2'!D30</f>
        <v>190</v>
      </c>
      <c r="H11" s="1043">
        <f>+'F13.2'!E30</f>
        <v>0</v>
      </c>
      <c r="I11" s="1044">
        <f>+'F13.2'!F30</f>
        <v>0.95</v>
      </c>
      <c r="J11" s="1044">
        <f>+'F13.2'!G30</f>
        <v>4.55</v>
      </c>
      <c r="K11" s="1040">
        <f>+'F14.1'!D30</f>
        <v>270</v>
      </c>
      <c r="L11" s="1040">
        <f>+'F14.1'!E30</f>
        <v>0</v>
      </c>
      <c r="M11" s="1041">
        <f ca="1">+'F14.1'!F30</f>
        <v>1.3385446192075825</v>
      </c>
      <c r="N11" s="1041">
        <f>+'F14.1'!G30</f>
        <v>4.8999999999999995</v>
      </c>
      <c r="O11" s="1043">
        <f>+'F13.3'!D30</f>
        <v>190</v>
      </c>
      <c r="P11" s="1043">
        <f>+'F13.3'!E30</f>
        <v>0</v>
      </c>
      <c r="Q11" s="1044">
        <f>+'F13.3'!F30</f>
        <v>0.95</v>
      </c>
      <c r="R11" s="1044">
        <f>+'F13.3'!G30</f>
        <v>4.58</v>
      </c>
      <c r="S11" s="1040">
        <f>+'F14.2'!D30</f>
        <v>290</v>
      </c>
      <c r="T11" s="1040">
        <f>+'F14.2'!E30</f>
        <v>0</v>
      </c>
      <c r="U11" s="1041">
        <f>+'F14.2'!F30</f>
        <v>1.3565161708151909</v>
      </c>
      <c r="V11" s="1041">
        <f>+'F14.2'!G30</f>
        <v>5.8</v>
      </c>
    </row>
    <row r="12" spans="2:22" s="1032" customFormat="1" ht="21.75" customHeight="1">
      <c r="B12" s="1034" t="s">
        <v>1221</v>
      </c>
      <c r="C12" s="1040">
        <f>+'F13.2'!D31</f>
        <v>0</v>
      </c>
      <c r="D12" s="1040">
        <f>+'F13.2'!E31</f>
        <v>190</v>
      </c>
      <c r="E12" s="1041">
        <f>+'F13.2'!F31</f>
        <v>0.95</v>
      </c>
      <c r="F12" s="1041">
        <f>+'F13.2'!G31</f>
        <v>4.55</v>
      </c>
      <c r="G12" s="1043">
        <f>+'F13.2'!D31</f>
        <v>0</v>
      </c>
      <c r="H12" s="1043">
        <f>+'F13.2'!E31</f>
        <v>190</v>
      </c>
      <c r="I12" s="1044">
        <f>+'F13.2'!F31</f>
        <v>0.95</v>
      </c>
      <c r="J12" s="1044">
        <f>+'F13.2'!G31</f>
        <v>4.55</v>
      </c>
      <c r="K12" s="1040">
        <f>+'F14.1'!D31</f>
        <v>0</v>
      </c>
      <c r="L12" s="1040">
        <f>+'F14.1'!E31</f>
        <v>270</v>
      </c>
      <c r="M12" s="1041">
        <f ca="1">+'F14.1'!F31</f>
        <v>1.3385446192075825</v>
      </c>
      <c r="N12" s="1041">
        <f>+'F14.1'!G31</f>
        <v>4.55</v>
      </c>
      <c r="O12" s="1043">
        <f>+'F13.3'!D31</f>
        <v>0</v>
      </c>
      <c r="P12" s="1043">
        <f>+'F13.3'!E31</f>
        <v>190</v>
      </c>
      <c r="Q12" s="1044">
        <f>+'F13.3'!F31</f>
        <v>0.95</v>
      </c>
      <c r="R12" s="1044">
        <f>+'F13.3'!G31</f>
        <v>4.58</v>
      </c>
      <c r="S12" s="1040">
        <f>+'F14.2'!D31</f>
        <v>0</v>
      </c>
      <c r="T12" s="1040">
        <f>+'F14.2'!E31</f>
        <v>290</v>
      </c>
      <c r="U12" s="1041">
        <f>+'F14.2'!F31</f>
        <v>1.3565161708151909</v>
      </c>
      <c r="V12" s="1041">
        <f>+'F14.2'!G31</f>
        <v>5.35</v>
      </c>
    </row>
    <row r="13" spans="2:22" s="1032" customFormat="1" ht="21.75" customHeight="1">
      <c r="B13" s="1034" t="s">
        <v>1222</v>
      </c>
      <c r="C13" s="1040">
        <f>+'F13.2'!D37</f>
        <v>190</v>
      </c>
      <c r="D13" s="1040">
        <f>+'F13.2'!E37</f>
        <v>0</v>
      </c>
      <c r="E13" s="1041">
        <f>+'F13.2'!F37</f>
        <v>0.95</v>
      </c>
      <c r="F13" s="1041">
        <f>+'F13.2'!G37</f>
        <v>4.55</v>
      </c>
      <c r="G13" s="1043">
        <f>+'F13.2'!D37</f>
        <v>190</v>
      </c>
      <c r="H13" s="1043">
        <f>+'F13.2'!E37</f>
        <v>0</v>
      </c>
      <c r="I13" s="1044">
        <f>+'F13.2'!F37</f>
        <v>0.95</v>
      </c>
      <c r="J13" s="1044">
        <f>+'F13.2'!G37</f>
        <v>4.55</v>
      </c>
      <c r="K13" s="1040">
        <f>+'F14.1'!D37</f>
        <v>270</v>
      </c>
      <c r="L13" s="1040">
        <f>+'F14.1'!E37</f>
        <v>0</v>
      </c>
      <c r="M13" s="1041">
        <f ca="1">+'F14.1'!F37</f>
        <v>1.3385446192075825</v>
      </c>
      <c r="N13" s="1041">
        <f>+'F14.1'!G37</f>
        <v>4.55</v>
      </c>
      <c r="O13" s="1043">
        <f>+'F13.3'!D37</f>
        <v>190</v>
      </c>
      <c r="P13" s="1043">
        <f>+'F13.3'!E37</f>
        <v>0</v>
      </c>
      <c r="Q13" s="1044">
        <f>+'F13.3'!F37</f>
        <v>0.95</v>
      </c>
      <c r="R13" s="1044">
        <f>+'F13.3'!G37</f>
        <v>4.58</v>
      </c>
      <c r="S13" s="1040">
        <f>+'F14.2'!D37</f>
        <v>290</v>
      </c>
      <c r="T13" s="1040">
        <f>+'F14.2'!E37</f>
        <v>0</v>
      </c>
      <c r="U13" s="1041">
        <f>+'F14.2'!F37</f>
        <v>1.3565161708151909</v>
      </c>
      <c r="V13" s="1041">
        <f>+'F14.2'!G37</f>
        <v>5.3999999999999995</v>
      </c>
    </row>
    <row r="14" spans="2:22" s="1032" customFormat="1" ht="21.75" customHeight="1">
      <c r="B14" s="1034" t="s">
        <v>1223</v>
      </c>
      <c r="C14" s="1040">
        <f>+'F13.2'!D38</f>
        <v>0</v>
      </c>
      <c r="D14" s="1040">
        <f>+'F13.2'!E38</f>
        <v>190</v>
      </c>
      <c r="E14" s="1041">
        <f>+'F13.2'!F38</f>
        <v>0.95</v>
      </c>
      <c r="F14" s="1041">
        <f>+'F13.2'!G38</f>
        <v>4.55</v>
      </c>
      <c r="G14" s="1043">
        <f>+'F13.2'!D38</f>
        <v>0</v>
      </c>
      <c r="H14" s="1043">
        <f>+'F13.2'!E38</f>
        <v>190</v>
      </c>
      <c r="I14" s="1044">
        <f>+'F13.2'!F38</f>
        <v>0.95</v>
      </c>
      <c r="J14" s="1044">
        <f>+'F13.2'!G38</f>
        <v>4.55</v>
      </c>
      <c r="K14" s="1040">
        <f>+'F14.1'!D38</f>
        <v>0</v>
      </c>
      <c r="L14" s="1040">
        <f>+'F14.1'!E38</f>
        <v>270</v>
      </c>
      <c r="M14" s="1041">
        <f ca="1">+'F14.1'!F38</f>
        <v>1.3385446192075825</v>
      </c>
      <c r="N14" s="1041">
        <f>+'F14.1'!G38</f>
        <v>4.55</v>
      </c>
      <c r="O14" s="1043">
        <f>+'F13.3'!D38</f>
        <v>0</v>
      </c>
      <c r="P14" s="1043">
        <f>+'F13.3'!E38</f>
        <v>190</v>
      </c>
      <c r="Q14" s="1044">
        <f>+'F13.3'!F38</f>
        <v>0.95</v>
      </c>
      <c r="R14" s="1044">
        <f>+'F13.3'!G38</f>
        <v>4.58</v>
      </c>
      <c r="S14" s="1040">
        <f>+'F14.2'!D38</f>
        <v>0</v>
      </c>
      <c r="T14" s="1040">
        <f>+'F14.2'!E38</f>
        <v>290</v>
      </c>
      <c r="U14" s="1041">
        <f>+'F14.2'!F38</f>
        <v>1.3565161708151909</v>
      </c>
      <c r="V14" s="1041">
        <f>+'F14.2'!G38</f>
        <v>5.35</v>
      </c>
    </row>
    <row r="18" spans="2:18">
      <c r="B18" s="1588" t="s">
        <v>252</v>
      </c>
      <c r="C18" s="1593" t="s">
        <v>1226</v>
      </c>
      <c r="D18" s="1593"/>
      <c r="E18" s="1593"/>
      <c r="F18" s="1593"/>
      <c r="G18" s="1591" t="s">
        <v>1227</v>
      </c>
      <c r="H18" s="1591"/>
      <c r="I18" s="1591"/>
      <c r="J18" s="1591"/>
      <c r="K18" s="1593" t="s">
        <v>1226</v>
      </c>
      <c r="L18" s="1593"/>
      <c r="M18" s="1593"/>
      <c r="N18" s="1593"/>
      <c r="O18" s="1591" t="s">
        <v>1227</v>
      </c>
      <c r="P18" s="1591"/>
      <c r="Q18" s="1591"/>
      <c r="R18" s="1591"/>
    </row>
    <row r="19" spans="2:18" ht="31.5">
      <c r="B19" s="1589"/>
      <c r="C19" s="1035" t="s">
        <v>1211</v>
      </c>
      <c r="D19" s="1035" t="s">
        <v>832</v>
      </c>
      <c r="E19" s="1035" t="s">
        <v>834</v>
      </c>
      <c r="F19" s="1035" t="s">
        <v>833</v>
      </c>
      <c r="G19" s="1031" t="s">
        <v>1211</v>
      </c>
      <c r="H19" s="1031" t="s">
        <v>832</v>
      </c>
      <c r="I19" s="1031" t="s">
        <v>834</v>
      </c>
      <c r="J19" s="1031" t="s">
        <v>833</v>
      </c>
      <c r="K19" s="1035" t="s">
        <v>1211</v>
      </c>
      <c r="L19" s="1035" t="s">
        <v>832</v>
      </c>
      <c r="M19" s="1035" t="s">
        <v>834</v>
      </c>
      <c r="N19" s="1035" t="s">
        <v>833</v>
      </c>
      <c r="O19" s="1031" t="s">
        <v>1211</v>
      </c>
      <c r="P19" s="1031" t="s">
        <v>832</v>
      </c>
      <c r="Q19" s="1031" t="s">
        <v>834</v>
      </c>
      <c r="R19" s="1031" t="s">
        <v>833</v>
      </c>
    </row>
    <row r="20" spans="2:18" ht="31.5">
      <c r="B20" s="1590"/>
      <c r="C20" s="1035" t="s">
        <v>1212</v>
      </c>
      <c r="D20" s="1035" t="s">
        <v>1225</v>
      </c>
      <c r="E20" s="1035" t="s">
        <v>407</v>
      </c>
      <c r="F20" s="1035" t="s">
        <v>407</v>
      </c>
      <c r="G20" s="1031" t="s">
        <v>1212</v>
      </c>
      <c r="H20" s="1031" t="s">
        <v>1225</v>
      </c>
      <c r="I20" s="1031" t="s">
        <v>407</v>
      </c>
      <c r="J20" s="1031" t="s">
        <v>407</v>
      </c>
      <c r="K20" s="1035" t="s">
        <v>1212</v>
      </c>
      <c r="L20" s="1035" t="s">
        <v>1225</v>
      </c>
      <c r="M20" s="1035" t="s">
        <v>407</v>
      </c>
      <c r="N20" s="1035" t="s">
        <v>407</v>
      </c>
      <c r="O20" s="1031" t="s">
        <v>1212</v>
      </c>
      <c r="P20" s="1031" t="s">
        <v>1225</v>
      </c>
      <c r="Q20" s="1031" t="s">
        <v>407</v>
      </c>
      <c r="R20" s="1031" t="s">
        <v>407</v>
      </c>
    </row>
    <row r="21" spans="2:18">
      <c r="B21" s="1033" t="s">
        <v>267</v>
      </c>
      <c r="C21" s="1036"/>
      <c r="D21" s="1036"/>
      <c r="E21" s="1036"/>
      <c r="F21" s="1036"/>
      <c r="G21" s="1039"/>
      <c r="H21" s="1039"/>
      <c r="I21" s="1039"/>
      <c r="J21" s="1039"/>
      <c r="K21" s="1036"/>
      <c r="L21" s="1036"/>
      <c r="M21" s="1036"/>
      <c r="N21" s="1036"/>
      <c r="O21" s="1039"/>
      <c r="P21" s="1039"/>
      <c r="Q21" s="1039"/>
      <c r="R21" s="1039"/>
    </row>
    <row r="22" spans="2:18">
      <c r="B22" s="1034" t="s">
        <v>1217</v>
      </c>
      <c r="C22" s="1037">
        <v>0</v>
      </c>
      <c r="D22" s="1037">
        <v>270</v>
      </c>
      <c r="E22" s="1038">
        <v>0.44</v>
      </c>
      <c r="F22" s="1038">
        <v>6.98</v>
      </c>
      <c r="G22" s="1040">
        <f>+K7</f>
        <v>0</v>
      </c>
      <c r="H22" s="1040">
        <f t="shared" ref="H22:J22" si="0">+L7</f>
        <v>270</v>
      </c>
      <c r="I22" s="1041">
        <f t="shared" ca="1" si="0"/>
        <v>1.3385446192075825</v>
      </c>
      <c r="J22" s="1041">
        <f t="shared" si="0"/>
        <v>4.3199999999999994</v>
      </c>
      <c r="K22" s="1037">
        <v>0</v>
      </c>
      <c r="L22" s="1037">
        <v>290</v>
      </c>
      <c r="M22" s="1038">
        <v>0.39</v>
      </c>
      <c r="N22" s="1038">
        <v>6.93</v>
      </c>
      <c r="O22" s="1040">
        <f>+S7</f>
        <v>0</v>
      </c>
      <c r="P22" s="1040">
        <f t="shared" ref="P22:R22" si="1">+T7</f>
        <v>290</v>
      </c>
      <c r="Q22" s="1041">
        <f t="shared" si="1"/>
        <v>1.3565161708151909</v>
      </c>
      <c r="R22" s="1041">
        <f t="shared" si="1"/>
        <v>5.1199999999999992</v>
      </c>
    </row>
    <row r="23" spans="2:18">
      <c r="B23" s="1034" t="s">
        <v>1218</v>
      </c>
      <c r="C23" s="1037">
        <v>0</v>
      </c>
      <c r="D23" s="1037">
        <v>270</v>
      </c>
      <c r="E23" s="1038">
        <v>0.57999999999999996</v>
      </c>
      <c r="F23" s="1038">
        <v>11.45</v>
      </c>
      <c r="G23" s="1040">
        <f t="shared" ref="G23:J23" si="2">+K8</f>
        <v>0</v>
      </c>
      <c r="H23" s="1040">
        <f t="shared" si="2"/>
        <v>270</v>
      </c>
      <c r="I23" s="1041">
        <f t="shared" ca="1" si="2"/>
        <v>1.3385446192075825</v>
      </c>
      <c r="J23" s="1041">
        <f t="shared" si="2"/>
        <v>4.5</v>
      </c>
      <c r="K23" s="1037">
        <v>0</v>
      </c>
      <c r="L23" s="1037">
        <v>290</v>
      </c>
      <c r="M23" s="1038">
        <v>0.52</v>
      </c>
      <c r="N23" s="1038">
        <v>11.5</v>
      </c>
      <c r="O23" s="1040">
        <f t="shared" ref="O23:R23" si="3">+S8</f>
        <v>0</v>
      </c>
      <c r="P23" s="1040">
        <f t="shared" si="3"/>
        <v>290</v>
      </c>
      <c r="Q23" s="1041">
        <f t="shared" si="3"/>
        <v>1.3565161708151909</v>
      </c>
      <c r="R23" s="1041">
        <f t="shared" si="3"/>
        <v>5.45</v>
      </c>
    </row>
    <row r="24" spans="2:18">
      <c r="B24" s="1033" t="s">
        <v>270</v>
      </c>
      <c r="C24" s="1037"/>
      <c r="D24" s="1037"/>
      <c r="E24" s="1038"/>
      <c r="F24" s="1038"/>
      <c r="G24" s="1040"/>
      <c r="H24" s="1040"/>
      <c r="I24" s="1041"/>
      <c r="J24" s="1041"/>
      <c r="K24" s="1037"/>
      <c r="L24" s="1037"/>
      <c r="M24" s="1038"/>
      <c r="N24" s="1038"/>
      <c r="O24" s="1040"/>
      <c r="P24" s="1040"/>
      <c r="Q24" s="1041"/>
      <c r="R24" s="1041"/>
    </row>
    <row r="25" spans="2:18">
      <c r="B25" s="1034" t="s">
        <v>1219</v>
      </c>
      <c r="C25" s="1037">
        <v>270</v>
      </c>
      <c r="D25" s="1037">
        <v>0</v>
      </c>
      <c r="E25" s="1038">
        <v>1.18</v>
      </c>
      <c r="F25" s="1038">
        <v>6.1</v>
      </c>
      <c r="G25" s="1040">
        <f t="shared" ref="G25:J25" si="4">+K10</f>
        <v>270</v>
      </c>
      <c r="H25" s="1040">
        <f t="shared" si="4"/>
        <v>0</v>
      </c>
      <c r="I25" s="1041">
        <f t="shared" ca="1" si="4"/>
        <v>1.3385446192075825</v>
      </c>
      <c r="J25" s="1041">
        <f t="shared" si="4"/>
        <v>4.8499999999999996</v>
      </c>
      <c r="K25" s="1037">
        <v>290</v>
      </c>
      <c r="L25" s="1037">
        <v>0</v>
      </c>
      <c r="M25" s="1038">
        <v>1.1100000000000001</v>
      </c>
      <c r="N25" s="1038">
        <v>6.15</v>
      </c>
      <c r="O25" s="1040">
        <f t="shared" ref="O25:R25" si="5">+S10</f>
        <v>290</v>
      </c>
      <c r="P25" s="1040">
        <f t="shared" si="5"/>
        <v>0</v>
      </c>
      <c r="Q25" s="1041">
        <f t="shared" si="5"/>
        <v>1.3565161708151909</v>
      </c>
      <c r="R25" s="1041">
        <f t="shared" si="5"/>
        <v>5.85</v>
      </c>
    </row>
    <row r="26" spans="2:18">
      <c r="B26" s="1034" t="s">
        <v>1220</v>
      </c>
      <c r="C26" s="1037">
        <v>270</v>
      </c>
      <c r="D26" s="1037">
        <v>0</v>
      </c>
      <c r="E26" s="1038">
        <v>1.18</v>
      </c>
      <c r="F26" s="1038">
        <v>9.32</v>
      </c>
      <c r="G26" s="1040">
        <f t="shared" ref="G26:J26" si="6">+K11</f>
        <v>270</v>
      </c>
      <c r="H26" s="1040">
        <f t="shared" si="6"/>
        <v>0</v>
      </c>
      <c r="I26" s="1041">
        <f t="shared" ca="1" si="6"/>
        <v>1.3385446192075825</v>
      </c>
      <c r="J26" s="1041">
        <f t="shared" si="6"/>
        <v>4.8999999999999995</v>
      </c>
      <c r="K26" s="1037">
        <v>290</v>
      </c>
      <c r="L26" s="1037">
        <v>0</v>
      </c>
      <c r="M26" s="1038">
        <v>1.1100000000000001</v>
      </c>
      <c r="N26" s="1038">
        <v>9.3699999999999992</v>
      </c>
      <c r="O26" s="1040">
        <f t="shared" ref="O26:R26" si="7">+S11</f>
        <v>290</v>
      </c>
      <c r="P26" s="1040">
        <f t="shared" si="7"/>
        <v>0</v>
      </c>
      <c r="Q26" s="1041">
        <f t="shared" si="7"/>
        <v>1.3565161708151909</v>
      </c>
      <c r="R26" s="1041">
        <f t="shared" si="7"/>
        <v>5.8</v>
      </c>
    </row>
    <row r="27" spans="2:18">
      <c r="B27" s="1034" t="s">
        <v>1221</v>
      </c>
      <c r="C27" s="1037">
        <v>0</v>
      </c>
      <c r="D27" s="1037">
        <v>270</v>
      </c>
      <c r="E27" s="1038">
        <v>1.18</v>
      </c>
      <c r="F27" s="1038">
        <v>9.98</v>
      </c>
      <c r="G27" s="1040">
        <f t="shared" ref="G27:J27" si="8">+K12</f>
        <v>0</v>
      </c>
      <c r="H27" s="1040">
        <f t="shared" si="8"/>
        <v>270</v>
      </c>
      <c r="I27" s="1041">
        <f t="shared" ca="1" si="8"/>
        <v>1.3385446192075825</v>
      </c>
      <c r="J27" s="1041">
        <f t="shared" si="8"/>
        <v>4.55</v>
      </c>
      <c r="K27" s="1037">
        <v>0</v>
      </c>
      <c r="L27" s="1037">
        <v>290</v>
      </c>
      <c r="M27" s="1038">
        <v>1.1100000000000001</v>
      </c>
      <c r="N27" s="1038">
        <v>9.98</v>
      </c>
      <c r="O27" s="1040">
        <f t="shared" ref="O27:R27" si="9">+S12</f>
        <v>0</v>
      </c>
      <c r="P27" s="1040">
        <f t="shared" si="9"/>
        <v>290</v>
      </c>
      <c r="Q27" s="1041">
        <f t="shared" si="9"/>
        <v>1.3565161708151909</v>
      </c>
      <c r="R27" s="1041">
        <f t="shared" si="9"/>
        <v>5.35</v>
      </c>
    </row>
    <row r="28" spans="2:18">
      <c r="B28" s="1034" t="s">
        <v>1222</v>
      </c>
      <c r="C28" s="1037">
        <v>270</v>
      </c>
      <c r="D28" s="1037">
        <v>0</v>
      </c>
      <c r="E28" s="1038">
        <v>1.18</v>
      </c>
      <c r="F28" s="1038">
        <v>4.76</v>
      </c>
      <c r="G28" s="1040">
        <f t="shared" ref="G28:J28" si="10">+K13</f>
        <v>270</v>
      </c>
      <c r="H28" s="1040">
        <f t="shared" si="10"/>
        <v>0</v>
      </c>
      <c r="I28" s="1041">
        <f t="shared" ca="1" si="10"/>
        <v>1.3385446192075825</v>
      </c>
      <c r="J28" s="1041">
        <f t="shared" si="10"/>
        <v>4.55</v>
      </c>
      <c r="K28" s="1037">
        <v>290</v>
      </c>
      <c r="L28" s="1037"/>
      <c r="M28" s="1038">
        <v>1.1100000000000001</v>
      </c>
      <c r="N28" s="1038">
        <v>4.8099999999999996</v>
      </c>
      <c r="O28" s="1040">
        <f t="shared" ref="O28:R28" si="11">+S13</f>
        <v>290</v>
      </c>
      <c r="P28" s="1040">
        <f t="shared" si="11"/>
        <v>0</v>
      </c>
      <c r="Q28" s="1041">
        <f t="shared" si="11"/>
        <v>1.3565161708151909</v>
      </c>
      <c r="R28" s="1041">
        <f t="shared" si="11"/>
        <v>5.3999999999999995</v>
      </c>
    </row>
    <row r="29" spans="2:18">
      <c r="B29" s="1034" t="s">
        <v>1223</v>
      </c>
      <c r="C29" s="1037">
        <v>0</v>
      </c>
      <c r="D29" s="1037">
        <v>270</v>
      </c>
      <c r="E29" s="1038">
        <v>1.18</v>
      </c>
      <c r="F29" s="1038">
        <v>6.38</v>
      </c>
      <c r="G29" s="1040">
        <f t="shared" ref="G29:J29" si="12">+K14</f>
        <v>0</v>
      </c>
      <c r="H29" s="1040">
        <f t="shared" si="12"/>
        <v>270</v>
      </c>
      <c r="I29" s="1041">
        <f t="shared" ca="1" si="12"/>
        <v>1.3385446192075825</v>
      </c>
      <c r="J29" s="1041">
        <f t="shared" si="12"/>
        <v>4.55</v>
      </c>
      <c r="K29" s="1037"/>
      <c r="L29" s="1037">
        <v>290</v>
      </c>
      <c r="M29" s="1038">
        <v>1.1100000000000001</v>
      </c>
      <c r="N29" s="1038">
        <v>6.42</v>
      </c>
      <c r="O29" s="1040">
        <f t="shared" ref="O29:R29" si="13">+S14</f>
        <v>0</v>
      </c>
      <c r="P29" s="1040">
        <f t="shared" si="13"/>
        <v>290</v>
      </c>
      <c r="Q29" s="1041">
        <f t="shared" si="13"/>
        <v>1.3565161708151909</v>
      </c>
      <c r="R29" s="1041">
        <f t="shared" si="13"/>
        <v>5.35</v>
      </c>
    </row>
    <row r="32" spans="2:18">
      <c r="B32" s="1587" t="s">
        <v>252</v>
      </c>
      <c r="C32" s="1587" t="s">
        <v>148</v>
      </c>
      <c r="D32" s="1587"/>
      <c r="E32" s="1587" t="s">
        <v>1251</v>
      </c>
      <c r="F32" s="1587"/>
    </row>
    <row r="33" spans="2:6">
      <c r="B33" s="1587"/>
      <c r="C33" s="1063" t="s">
        <v>1226</v>
      </c>
      <c r="D33" s="1063" t="s">
        <v>1248</v>
      </c>
      <c r="E33" s="1063" t="s">
        <v>1226</v>
      </c>
      <c r="F33" s="1063" t="s">
        <v>1248</v>
      </c>
    </row>
    <row r="34" spans="2:6">
      <c r="B34" s="1034" t="s">
        <v>1249</v>
      </c>
      <c r="C34" s="1056">
        <f>+E22+F22</f>
        <v>7.4200000000000008</v>
      </c>
      <c r="D34" s="1056">
        <f ca="1">+I22+J22</f>
        <v>5.6585446192075821</v>
      </c>
      <c r="E34" s="1056">
        <f>+M22+N22</f>
        <v>7.3199999999999994</v>
      </c>
      <c r="F34" s="1056">
        <f>+Q22+R22</f>
        <v>6.4765161708151897</v>
      </c>
    </row>
    <row r="35" spans="2:6">
      <c r="B35" s="1034" t="s">
        <v>850</v>
      </c>
      <c r="C35" s="1056">
        <f t="shared" ref="C35" si="14">+E23+F23</f>
        <v>12.03</v>
      </c>
      <c r="D35" s="1056">
        <f ca="1">+I23+J23</f>
        <v>5.8385446192075827</v>
      </c>
      <c r="E35" s="1056">
        <f>+M23+N23</f>
        <v>12.02</v>
      </c>
      <c r="F35" s="1056">
        <f>+Q23+R23</f>
        <v>6.8065161708151916</v>
      </c>
    </row>
    <row r="36" spans="2:6">
      <c r="B36" s="1034" t="s">
        <v>1250</v>
      </c>
      <c r="C36" s="1056">
        <f>+E25+F25</f>
        <v>7.2799999999999994</v>
      </c>
      <c r="D36" s="1056">
        <f ca="1">+I25+J25</f>
        <v>6.1885446192075824</v>
      </c>
      <c r="E36" s="1056">
        <f>+M25+N25</f>
        <v>7.2600000000000007</v>
      </c>
      <c r="F36" s="1056">
        <f>+Q25+R25</f>
        <v>7.2065161708151901</v>
      </c>
    </row>
    <row r="37" spans="2:6">
      <c r="B37" s="1034" t="s">
        <v>777</v>
      </c>
      <c r="C37" s="1056">
        <f>+E26+F26</f>
        <v>10.5</v>
      </c>
      <c r="D37" s="1056">
        <f ca="1">+I26+J26</f>
        <v>6.2385446192075822</v>
      </c>
      <c r="E37" s="1056">
        <f t="shared" ref="E37:E40" si="15">+M26+N26</f>
        <v>10.479999999999999</v>
      </c>
      <c r="F37" s="1056">
        <f t="shared" ref="F37:F40" si="16">+Q26+R26</f>
        <v>7.1565161708151912</v>
      </c>
    </row>
    <row r="38" spans="2:6">
      <c r="B38" s="1034" t="s">
        <v>778</v>
      </c>
      <c r="C38" s="1056">
        <f>+E27+F27</f>
        <v>11.16</v>
      </c>
      <c r="D38" s="1056">
        <f ca="1">+I27+J27</f>
        <v>5.8885446192075825</v>
      </c>
      <c r="E38" s="1056">
        <f t="shared" si="15"/>
        <v>11.09</v>
      </c>
      <c r="F38" s="1056">
        <f t="shared" si="16"/>
        <v>6.7065161708151901</v>
      </c>
    </row>
    <row r="39" spans="2:6">
      <c r="B39" s="1034" t="s">
        <v>779</v>
      </c>
      <c r="C39" s="1056">
        <f>+E28+F28</f>
        <v>5.9399999999999995</v>
      </c>
      <c r="D39" s="1056">
        <f ca="1">+I28+J28</f>
        <v>5.8885446192075825</v>
      </c>
      <c r="E39" s="1056">
        <f t="shared" si="15"/>
        <v>5.92</v>
      </c>
      <c r="F39" s="1056">
        <f t="shared" si="16"/>
        <v>6.7565161708151908</v>
      </c>
    </row>
    <row r="40" spans="2:6">
      <c r="B40" s="1034" t="s">
        <v>780</v>
      </c>
      <c r="C40" s="1056">
        <f>+E29+F29</f>
        <v>7.56</v>
      </c>
      <c r="D40" s="1056">
        <f ca="1">+I29+J29</f>
        <v>5.8885446192075825</v>
      </c>
      <c r="E40" s="1056">
        <f t="shared" si="15"/>
        <v>7.53</v>
      </c>
      <c r="F40" s="1056">
        <f t="shared" si="16"/>
        <v>6.7065161708151901</v>
      </c>
    </row>
  </sheetData>
  <mergeCells count="14">
    <mergeCell ref="G18:J18"/>
    <mergeCell ref="S3:V3"/>
    <mergeCell ref="O18:R18"/>
    <mergeCell ref="C3:F3"/>
    <mergeCell ref="G3:J3"/>
    <mergeCell ref="K3:N3"/>
    <mergeCell ref="O3:R3"/>
    <mergeCell ref="C18:F18"/>
    <mergeCell ref="K18:N18"/>
    <mergeCell ref="C32:D32"/>
    <mergeCell ref="E32:F32"/>
    <mergeCell ref="B32:B33"/>
    <mergeCell ref="B3:B5"/>
    <mergeCell ref="B18:B20"/>
  </mergeCells>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FFC000"/>
  </sheetPr>
  <dimension ref="A1:L16"/>
  <sheetViews>
    <sheetView zoomScale="90" zoomScaleNormal="90" zoomScaleSheetLayoutView="95" workbookViewId="0">
      <selection activeCell="C11" sqref="C11:C12"/>
    </sheetView>
  </sheetViews>
  <sheetFormatPr defaultColWidth="8.85546875" defaultRowHeight="13.5"/>
  <cols>
    <col min="1" max="1" width="8.85546875" style="421"/>
    <col min="2" max="2" width="22.7109375" style="421" customWidth="1"/>
    <col min="3" max="3" width="10.28515625" style="421" customWidth="1"/>
    <col min="4" max="4" width="10" style="421" bestFit="1" customWidth="1"/>
    <col min="5" max="7" width="6.85546875" style="421" bestFit="1" customWidth="1"/>
    <col min="8" max="8" width="11.140625" style="421" bestFit="1" customWidth="1"/>
    <col min="9" max="11" width="10" style="421" bestFit="1" customWidth="1"/>
    <col min="12" max="16384" width="8.85546875" style="421"/>
  </cols>
  <sheetData>
    <row r="1" spans="1:12">
      <c r="A1" s="575"/>
      <c r="B1" s="575"/>
      <c r="C1" s="575"/>
      <c r="D1" s="575"/>
      <c r="E1" s="575"/>
      <c r="F1" s="575"/>
      <c r="G1" s="575"/>
      <c r="H1" s="575"/>
      <c r="I1" s="575"/>
      <c r="J1" s="575"/>
      <c r="K1" s="575"/>
      <c r="L1" s="575"/>
    </row>
    <row r="2" spans="1:12">
      <c r="A2" s="575"/>
      <c r="B2" s="575"/>
      <c r="C2" s="575"/>
      <c r="D2" s="575"/>
      <c r="E2" s="575"/>
      <c r="F2" s="575"/>
      <c r="G2" s="575"/>
      <c r="H2" s="575"/>
      <c r="I2" s="575"/>
      <c r="J2" s="575"/>
      <c r="K2" s="575"/>
      <c r="L2" s="575"/>
    </row>
    <row r="3" spans="1:12" ht="16.5">
      <c r="A3" s="575"/>
      <c r="B3" s="1049" t="s">
        <v>148</v>
      </c>
      <c r="C3" s="1200"/>
      <c r="D3" s="1200"/>
      <c r="E3" s="1200"/>
      <c r="F3" s="1200"/>
      <c r="G3" s="1200"/>
      <c r="H3" s="575"/>
      <c r="I3" s="575"/>
      <c r="J3" s="575"/>
      <c r="K3" s="575"/>
      <c r="L3" s="575"/>
    </row>
    <row r="4" spans="1:12" ht="15">
      <c r="A4" s="575"/>
      <c r="B4" s="1050" t="s">
        <v>400</v>
      </c>
      <c r="C4" s="1051" t="s">
        <v>1232</v>
      </c>
      <c r="D4" s="1051" t="s">
        <v>90</v>
      </c>
      <c r="E4" s="1051" t="s">
        <v>1233</v>
      </c>
      <c r="F4" s="1051" t="s">
        <v>1234</v>
      </c>
      <c r="G4" s="1051" t="s">
        <v>1235</v>
      </c>
      <c r="H4" s="1051" t="s">
        <v>1236</v>
      </c>
      <c r="I4" s="1051" t="s">
        <v>1237</v>
      </c>
      <c r="J4" s="1051" t="s">
        <v>1238</v>
      </c>
      <c r="K4" s="1051" t="s">
        <v>1239</v>
      </c>
      <c r="L4" s="575"/>
    </row>
    <row r="5" spans="1:12" ht="15">
      <c r="A5" s="575"/>
      <c r="B5" s="1050"/>
      <c r="C5" s="1051" t="s">
        <v>407</v>
      </c>
      <c r="D5" s="1051" t="s">
        <v>407</v>
      </c>
      <c r="E5" s="1051" t="s">
        <v>644</v>
      </c>
      <c r="F5" s="1051" t="s">
        <v>644</v>
      </c>
      <c r="G5" s="1051" t="s">
        <v>644</v>
      </c>
      <c r="H5" s="1051" t="s">
        <v>407</v>
      </c>
      <c r="I5" s="1051" t="s">
        <v>407</v>
      </c>
      <c r="J5" s="1051" t="s">
        <v>407</v>
      </c>
      <c r="K5" s="1051" t="s">
        <v>407</v>
      </c>
      <c r="L5" s="575"/>
    </row>
    <row r="6" spans="1:12" ht="16.5">
      <c r="A6" s="575"/>
      <c r="B6" s="1052" t="str">
        <f>+'F14.1'!B14</f>
        <v>HT I</v>
      </c>
      <c r="C6" s="1053">
        <f ca="1">+'F14.1'!X14</f>
        <v>6.3723239178625306</v>
      </c>
      <c r="D6" s="1053">
        <f>+'F2'!R137</f>
        <v>4.2291044486737421</v>
      </c>
      <c r="E6" s="1054">
        <f>+'F1.3'!J31</f>
        <v>9.1046130853378107E-3</v>
      </c>
      <c r="F6" s="1054">
        <f>+'F1.4'!K29</f>
        <v>3.9199999999999999E-2</v>
      </c>
      <c r="G6" s="1054">
        <f>E6+F6</f>
        <v>4.8304613085337809E-2</v>
      </c>
      <c r="H6" s="1053">
        <f>D6/(1-G6)</f>
        <v>4.443758482831611</v>
      </c>
      <c r="I6" s="1053">
        <f ca="1">+'F14.1'!F14</f>
        <v>1.3385446192075825</v>
      </c>
      <c r="J6" s="1053">
        <v>0</v>
      </c>
      <c r="K6" s="1053">
        <f ca="1">ROUND(MIN(C6-H6-I6,20%*C6),2)</f>
        <v>0.59</v>
      </c>
      <c r="L6" s="575"/>
    </row>
    <row r="7" spans="1:12" ht="16.5">
      <c r="A7" s="575"/>
      <c r="B7" s="1052" t="str">
        <f>+'F14.1'!B20</f>
        <v>HT II</v>
      </c>
      <c r="C7" s="1053">
        <f ca="1">+'F14.1'!X20</f>
        <v>6.4034195005410366</v>
      </c>
      <c r="D7" s="1053">
        <f>+D6</f>
        <v>4.2291044486737421</v>
      </c>
      <c r="E7" s="1055">
        <f>E6</f>
        <v>9.1046130853378107E-3</v>
      </c>
      <c r="F7" s="1055">
        <f t="shared" ref="F7" si="0">F6</f>
        <v>3.9199999999999999E-2</v>
      </c>
      <c r="G7" s="1054">
        <f t="shared" ref="G7" si="1">E7+F7</f>
        <v>4.8304613085337809E-2</v>
      </c>
      <c r="H7" s="1053">
        <f>D7/(1-G7)</f>
        <v>4.443758482831611</v>
      </c>
      <c r="I7" s="1053">
        <f ca="1">+'F14.1'!F20</f>
        <v>1.3385446192075825</v>
      </c>
      <c r="J7" s="1053">
        <v>0</v>
      </c>
      <c r="K7" s="1053">
        <f ca="1">ROUND(MIN(C7-H7-I7,20%*C7),2)</f>
        <v>0.62</v>
      </c>
      <c r="L7" s="575"/>
    </row>
    <row r="8" spans="1:12">
      <c r="A8" s="575"/>
      <c r="B8" s="575"/>
      <c r="C8" s="575"/>
      <c r="D8" s="575"/>
      <c r="E8" s="575"/>
      <c r="F8" s="575"/>
      <c r="G8" s="575"/>
      <c r="H8" s="575"/>
      <c r="I8" s="575"/>
      <c r="J8" s="575"/>
      <c r="K8" s="575"/>
      <c r="L8" s="575"/>
    </row>
    <row r="9" spans="1:12" ht="16.5">
      <c r="A9" s="575"/>
      <c r="B9" s="1049" t="s">
        <v>149</v>
      </c>
      <c r="C9" s="1200"/>
      <c r="D9" s="1200"/>
      <c r="E9" s="1200"/>
      <c r="F9" s="1200"/>
      <c r="G9" s="1200"/>
      <c r="H9" s="575"/>
      <c r="I9" s="575"/>
      <c r="J9" s="575"/>
      <c r="K9" s="575"/>
      <c r="L9" s="575"/>
    </row>
    <row r="10" spans="1:12" ht="15">
      <c r="A10" s="575"/>
      <c r="B10" s="1050" t="s">
        <v>400</v>
      </c>
      <c r="C10" s="1051" t="s">
        <v>1232</v>
      </c>
      <c r="D10" s="1051" t="s">
        <v>90</v>
      </c>
      <c r="E10" s="1051" t="s">
        <v>1233</v>
      </c>
      <c r="F10" s="1051" t="s">
        <v>1234</v>
      </c>
      <c r="G10" s="1051" t="s">
        <v>1235</v>
      </c>
      <c r="H10" s="1051" t="s">
        <v>1240</v>
      </c>
      <c r="I10" s="1051" t="s">
        <v>1237</v>
      </c>
      <c r="J10" s="1051" t="s">
        <v>1238</v>
      </c>
      <c r="K10" s="1051" t="s">
        <v>1239</v>
      </c>
      <c r="L10" s="575"/>
    </row>
    <row r="11" spans="1:12" ht="15">
      <c r="A11" s="575"/>
      <c r="B11" s="1050"/>
      <c r="C11" s="1051" t="s">
        <v>407</v>
      </c>
      <c r="D11" s="1051" t="s">
        <v>407</v>
      </c>
      <c r="E11" s="1051" t="s">
        <v>644</v>
      </c>
      <c r="F11" s="1051" t="s">
        <v>644</v>
      </c>
      <c r="G11" s="1051" t="s">
        <v>644</v>
      </c>
      <c r="H11" s="1051" t="s">
        <v>407</v>
      </c>
      <c r="I11" s="1051" t="s">
        <v>407</v>
      </c>
      <c r="J11" s="1051" t="s">
        <v>407</v>
      </c>
      <c r="K11" s="1051" t="s">
        <v>407</v>
      </c>
      <c r="L11" s="575"/>
    </row>
    <row r="12" spans="1:12" ht="16.5">
      <c r="A12" s="575"/>
      <c r="B12" s="1052" t="str">
        <f>+B6</f>
        <v>HT I</v>
      </c>
      <c r="C12" s="1053">
        <f>+'F14.2'!X14</f>
        <v>7.2597702574032965</v>
      </c>
      <c r="D12" s="1053">
        <f>+'F2'!R169</f>
        <v>4.2828232711944949</v>
      </c>
      <c r="E12" s="1054">
        <f>+'F1.3'!J37</f>
        <v>9.1046130853378107E-3</v>
      </c>
      <c r="F12" s="1054">
        <f>+'F1.4'!M29</f>
        <v>3.9199999999999999E-2</v>
      </c>
      <c r="G12" s="1054">
        <f>E12+F12</f>
        <v>4.8304613085337809E-2</v>
      </c>
      <c r="H12" s="1053">
        <f>D12/(1-G12)</f>
        <v>4.5002038783429894</v>
      </c>
      <c r="I12" s="1053">
        <f>+'F14.2'!F14</f>
        <v>1.3565161708151909</v>
      </c>
      <c r="J12" s="1053">
        <v>0</v>
      </c>
      <c r="K12" s="1053">
        <f>ROUND(MIN(C12-H12-I12,20%*C12),2)</f>
        <v>1.4</v>
      </c>
      <c r="L12" s="575"/>
    </row>
    <row r="13" spans="1:12" ht="16.5">
      <c r="A13" s="575"/>
      <c r="B13" s="1052" t="str">
        <f>+B7</f>
        <v>HT II</v>
      </c>
      <c r="C13" s="1053">
        <f>+'F14.2'!X20</f>
        <v>7.3033910521486458</v>
      </c>
      <c r="D13" s="1053">
        <f>+D12</f>
        <v>4.2828232711944949</v>
      </c>
      <c r="E13" s="1055">
        <f>E12</f>
        <v>9.1046130853378107E-3</v>
      </c>
      <c r="F13" s="1055">
        <f t="shared" ref="F13" si="2">F12</f>
        <v>3.9199999999999999E-2</v>
      </c>
      <c r="G13" s="1054">
        <f>E13+F13</f>
        <v>4.8304613085337809E-2</v>
      </c>
      <c r="H13" s="1053">
        <f>D13/(1-G13)</f>
        <v>4.5002038783429894</v>
      </c>
      <c r="I13" s="1053">
        <f>+'F14.2'!F20</f>
        <v>1.3565161708151909</v>
      </c>
      <c r="J13" s="1053">
        <v>0</v>
      </c>
      <c r="K13" s="1053">
        <f>ROUND(MIN(C13-H13-I13,20%*C13),2)</f>
        <v>1.45</v>
      </c>
      <c r="L13" s="575"/>
    </row>
    <row r="14" spans="1:12">
      <c r="A14" s="575"/>
      <c r="B14" s="575"/>
      <c r="C14" s="575"/>
      <c r="D14" s="575"/>
      <c r="E14" s="575"/>
      <c r="F14" s="575"/>
      <c r="G14" s="575"/>
      <c r="H14" s="575"/>
      <c r="I14" s="575"/>
      <c r="J14" s="575"/>
      <c r="K14" s="575"/>
      <c r="L14" s="575"/>
    </row>
    <row r="15" spans="1:12">
      <c r="A15" s="575"/>
      <c r="B15" s="575"/>
      <c r="C15" s="575"/>
      <c r="D15" s="575"/>
      <c r="E15" s="575"/>
      <c r="F15" s="575"/>
      <c r="G15" s="575"/>
      <c r="H15" s="575"/>
      <c r="I15" s="575"/>
      <c r="J15" s="575"/>
      <c r="K15" s="575"/>
      <c r="L15" s="575"/>
    </row>
    <row r="16" spans="1:12">
      <c r="A16" s="575"/>
      <c r="B16" s="575"/>
      <c r="C16" s="575"/>
      <c r="D16" s="575"/>
      <c r="E16" s="575"/>
      <c r="F16" s="575"/>
      <c r="G16" s="575"/>
      <c r="H16" s="575"/>
      <c r="I16" s="575"/>
      <c r="J16" s="575"/>
      <c r="K16" s="575"/>
      <c r="L16" s="575"/>
    </row>
  </sheetData>
  <pageMargins left="0.7" right="0.7" top="0.75" bottom="0.75" header="0.3" footer="0.3"/>
  <pageSetup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B2:N18"/>
  <sheetViews>
    <sheetView showGridLines="0" view="pageBreakPreview" zoomScale="80" zoomScaleNormal="80" zoomScaleSheetLayoutView="80" zoomScalePageLayoutView="90" workbookViewId="0">
      <selection activeCell="C11" sqref="C11:C12"/>
    </sheetView>
  </sheetViews>
  <sheetFormatPr defaultColWidth="9.140625" defaultRowHeight="15"/>
  <cols>
    <col min="1" max="1" width="9.140625" style="155"/>
    <col min="2" max="2" width="30.42578125" style="155" customWidth="1"/>
    <col min="3" max="3" width="13.7109375" style="155" customWidth="1"/>
    <col min="4" max="4" width="14.85546875" style="155" customWidth="1"/>
    <col min="5" max="5" width="15.42578125" style="155" customWidth="1"/>
    <col min="6" max="6" width="14.85546875" style="155" customWidth="1"/>
    <col min="7" max="8" width="14.5703125" style="155" customWidth="1"/>
    <col min="9" max="9" width="12.7109375" style="155" customWidth="1"/>
    <col min="10" max="10" width="14.42578125" style="155" customWidth="1"/>
    <col min="11" max="11" width="14.5703125" style="155" customWidth="1"/>
    <col min="12" max="12" width="12.140625" style="155" customWidth="1"/>
    <col min="13" max="13" width="14.5703125" style="155" customWidth="1"/>
    <col min="14" max="14" width="11.5703125" style="155" customWidth="1"/>
    <col min="15" max="253" width="9.140625" style="155"/>
    <col min="254" max="254" width="15.7109375" style="155" customWidth="1"/>
    <col min="255" max="255" width="30.42578125" style="155" customWidth="1"/>
    <col min="256" max="267" width="10.7109375" style="155" customWidth="1"/>
    <col min="268" max="268" width="12.5703125" style="155" customWidth="1"/>
    <col min="269" max="269" width="6.28515625" style="155" bestFit="1" customWidth="1"/>
    <col min="270" max="270" width="11.5703125" style="155" customWidth="1"/>
    <col min="271" max="509" width="9.140625" style="155"/>
    <col min="510" max="510" width="15.7109375" style="155" customWidth="1"/>
    <col min="511" max="511" width="30.42578125" style="155" customWidth="1"/>
    <col min="512" max="523" width="10.7109375" style="155" customWidth="1"/>
    <col min="524" max="524" width="12.5703125" style="155" customWidth="1"/>
    <col min="525" max="525" width="6.28515625" style="155" bestFit="1" customWidth="1"/>
    <col min="526" max="526" width="11.5703125" style="155" customWidth="1"/>
    <col min="527" max="765" width="9.140625" style="155"/>
    <col min="766" max="766" width="15.7109375" style="155" customWidth="1"/>
    <col min="767" max="767" width="30.42578125" style="155" customWidth="1"/>
    <col min="768" max="779" width="10.7109375" style="155" customWidth="1"/>
    <col min="780" max="780" width="12.5703125" style="155" customWidth="1"/>
    <col min="781" max="781" width="6.28515625" style="155" bestFit="1" customWidth="1"/>
    <col min="782" max="782" width="11.5703125" style="155" customWidth="1"/>
    <col min="783" max="1021" width="9.140625" style="155"/>
    <col min="1022" max="1022" width="15.7109375" style="155" customWidth="1"/>
    <col min="1023" max="1023" width="30.42578125" style="155" customWidth="1"/>
    <col min="1024" max="1035" width="10.7109375" style="155" customWidth="1"/>
    <col min="1036" max="1036" width="12.5703125" style="155" customWidth="1"/>
    <col min="1037" max="1037" width="6.28515625" style="155" bestFit="1" customWidth="1"/>
    <col min="1038" max="1038" width="11.5703125" style="155" customWidth="1"/>
    <col min="1039" max="1277" width="9.140625" style="155"/>
    <col min="1278" max="1278" width="15.7109375" style="155" customWidth="1"/>
    <col min="1279" max="1279" width="30.42578125" style="155" customWidth="1"/>
    <col min="1280" max="1291" width="10.7109375" style="155" customWidth="1"/>
    <col min="1292" max="1292" width="12.5703125" style="155" customWidth="1"/>
    <col min="1293" max="1293" width="6.28515625" style="155" bestFit="1" customWidth="1"/>
    <col min="1294" max="1294" width="11.5703125" style="155" customWidth="1"/>
    <col min="1295" max="1533" width="9.140625" style="155"/>
    <col min="1534" max="1534" width="15.7109375" style="155" customWidth="1"/>
    <col min="1535" max="1535" width="30.42578125" style="155" customWidth="1"/>
    <col min="1536" max="1547" width="10.7109375" style="155" customWidth="1"/>
    <col min="1548" max="1548" width="12.5703125" style="155" customWidth="1"/>
    <col min="1549" max="1549" width="6.28515625" style="155" bestFit="1" customWidth="1"/>
    <col min="1550" max="1550" width="11.5703125" style="155" customWidth="1"/>
    <col min="1551" max="1789" width="9.140625" style="155"/>
    <col min="1790" max="1790" width="15.7109375" style="155" customWidth="1"/>
    <col min="1791" max="1791" width="30.42578125" style="155" customWidth="1"/>
    <col min="1792" max="1803" width="10.7109375" style="155" customWidth="1"/>
    <col min="1804" max="1804" width="12.5703125" style="155" customWidth="1"/>
    <col min="1805" max="1805" width="6.28515625" style="155" bestFit="1" customWidth="1"/>
    <col min="1806" max="1806" width="11.5703125" style="155" customWidth="1"/>
    <col min="1807" max="2045" width="9.140625" style="155"/>
    <col min="2046" max="2046" width="15.7109375" style="155" customWidth="1"/>
    <col min="2047" max="2047" width="30.42578125" style="155" customWidth="1"/>
    <col min="2048" max="2059" width="10.7109375" style="155" customWidth="1"/>
    <col min="2060" max="2060" width="12.5703125" style="155" customWidth="1"/>
    <col min="2061" max="2061" width="6.28515625" style="155" bestFit="1" customWidth="1"/>
    <col min="2062" max="2062" width="11.5703125" style="155" customWidth="1"/>
    <col min="2063" max="2301" width="9.140625" style="155"/>
    <col min="2302" max="2302" width="15.7109375" style="155" customWidth="1"/>
    <col min="2303" max="2303" width="30.42578125" style="155" customWidth="1"/>
    <col min="2304" max="2315" width="10.7109375" style="155" customWidth="1"/>
    <col min="2316" max="2316" width="12.5703125" style="155" customWidth="1"/>
    <col min="2317" max="2317" width="6.28515625" style="155" bestFit="1" customWidth="1"/>
    <col min="2318" max="2318" width="11.5703125" style="155" customWidth="1"/>
    <col min="2319" max="2557" width="9.140625" style="155"/>
    <col min="2558" max="2558" width="15.7109375" style="155" customWidth="1"/>
    <col min="2559" max="2559" width="30.42578125" style="155" customWidth="1"/>
    <col min="2560" max="2571" width="10.7109375" style="155" customWidth="1"/>
    <col min="2572" max="2572" width="12.5703125" style="155" customWidth="1"/>
    <col min="2573" max="2573" width="6.28515625" style="155" bestFit="1" customWidth="1"/>
    <col min="2574" max="2574" width="11.5703125" style="155" customWidth="1"/>
    <col min="2575" max="2813" width="9.140625" style="155"/>
    <col min="2814" max="2814" width="15.7109375" style="155" customWidth="1"/>
    <col min="2815" max="2815" width="30.42578125" style="155" customWidth="1"/>
    <col min="2816" max="2827" width="10.7109375" style="155" customWidth="1"/>
    <col min="2828" max="2828" width="12.5703125" style="155" customWidth="1"/>
    <col min="2829" max="2829" width="6.28515625" style="155" bestFit="1" customWidth="1"/>
    <col min="2830" max="2830" width="11.5703125" style="155" customWidth="1"/>
    <col min="2831" max="3069" width="9.140625" style="155"/>
    <col min="3070" max="3070" width="15.7109375" style="155" customWidth="1"/>
    <col min="3071" max="3071" width="30.42578125" style="155" customWidth="1"/>
    <col min="3072" max="3083" width="10.7109375" style="155" customWidth="1"/>
    <col min="3084" max="3084" width="12.5703125" style="155" customWidth="1"/>
    <col min="3085" max="3085" width="6.28515625" style="155" bestFit="1" customWidth="1"/>
    <col min="3086" max="3086" width="11.5703125" style="155" customWidth="1"/>
    <col min="3087" max="3325" width="9.140625" style="155"/>
    <col min="3326" max="3326" width="15.7109375" style="155" customWidth="1"/>
    <col min="3327" max="3327" width="30.42578125" style="155" customWidth="1"/>
    <col min="3328" max="3339" width="10.7109375" style="155" customWidth="1"/>
    <col min="3340" max="3340" width="12.5703125" style="155" customWidth="1"/>
    <col min="3341" max="3341" width="6.28515625" style="155" bestFit="1" customWidth="1"/>
    <col min="3342" max="3342" width="11.5703125" style="155" customWidth="1"/>
    <col min="3343" max="3581" width="9.140625" style="155"/>
    <col min="3582" max="3582" width="15.7109375" style="155" customWidth="1"/>
    <col min="3583" max="3583" width="30.42578125" style="155" customWidth="1"/>
    <col min="3584" max="3595" width="10.7109375" style="155" customWidth="1"/>
    <col min="3596" max="3596" width="12.5703125" style="155" customWidth="1"/>
    <col min="3597" max="3597" width="6.28515625" style="155" bestFit="1" customWidth="1"/>
    <col min="3598" max="3598" width="11.5703125" style="155" customWidth="1"/>
    <col min="3599" max="3837" width="9.140625" style="155"/>
    <col min="3838" max="3838" width="15.7109375" style="155" customWidth="1"/>
    <col min="3839" max="3839" width="30.42578125" style="155" customWidth="1"/>
    <col min="3840" max="3851" width="10.7109375" style="155" customWidth="1"/>
    <col min="3852" max="3852" width="12.5703125" style="155" customWidth="1"/>
    <col min="3853" max="3853" width="6.28515625" style="155" bestFit="1" customWidth="1"/>
    <col min="3854" max="3854" width="11.5703125" style="155" customWidth="1"/>
    <col min="3855" max="4093" width="9.140625" style="155"/>
    <col min="4094" max="4094" width="15.7109375" style="155" customWidth="1"/>
    <col min="4095" max="4095" width="30.42578125" style="155" customWidth="1"/>
    <col min="4096" max="4107" width="10.7109375" style="155" customWidth="1"/>
    <col min="4108" max="4108" width="12.5703125" style="155" customWidth="1"/>
    <col min="4109" max="4109" width="6.28515625" style="155" bestFit="1" customWidth="1"/>
    <col min="4110" max="4110" width="11.5703125" style="155" customWidth="1"/>
    <col min="4111" max="4349" width="9.140625" style="155"/>
    <col min="4350" max="4350" width="15.7109375" style="155" customWidth="1"/>
    <col min="4351" max="4351" width="30.42578125" style="155" customWidth="1"/>
    <col min="4352" max="4363" width="10.7109375" style="155" customWidth="1"/>
    <col min="4364" max="4364" width="12.5703125" style="155" customWidth="1"/>
    <col min="4365" max="4365" width="6.28515625" style="155" bestFit="1" customWidth="1"/>
    <col min="4366" max="4366" width="11.5703125" style="155" customWidth="1"/>
    <col min="4367" max="4605" width="9.140625" style="155"/>
    <col min="4606" max="4606" width="15.7109375" style="155" customWidth="1"/>
    <col min="4607" max="4607" width="30.42578125" style="155" customWidth="1"/>
    <col min="4608" max="4619" width="10.7109375" style="155" customWidth="1"/>
    <col min="4620" max="4620" width="12.5703125" style="155" customWidth="1"/>
    <col min="4621" max="4621" width="6.28515625" style="155" bestFit="1" customWidth="1"/>
    <col min="4622" max="4622" width="11.5703125" style="155" customWidth="1"/>
    <col min="4623" max="4861" width="9.140625" style="155"/>
    <col min="4862" max="4862" width="15.7109375" style="155" customWidth="1"/>
    <col min="4863" max="4863" width="30.42578125" style="155" customWidth="1"/>
    <col min="4864" max="4875" width="10.7109375" style="155" customWidth="1"/>
    <col min="4876" max="4876" width="12.5703125" style="155" customWidth="1"/>
    <col min="4877" max="4877" width="6.28515625" style="155" bestFit="1" customWidth="1"/>
    <col min="4878" max="4878" width="11.5703125" style="155" customWidth="1"/>
    <col min="4879" max="5117" width="9.140625" style="155"/>
    <col min="5118" max="5118" width="15.7109375" style="155" customWidth="1"/>
    <col min="5119" max="5119" width="30.42578125" style="155" customWidth="1"/>
    <col min="5120" max="5131" width="10.7109375" style="155" customWidth="1"/>
    <col min="5132" max="5132" width="12.5703125" style="155" customWidth="1"/>
    <col min="5133" max="5133" width="6.28515625" style="155" bestFit="1" customWidth="1"/>
    <col min="5134" max="5134" width="11.5703125" style="155" customWidth="1"/>
    <col min="5135" max="5373" width="9.140625" style="155"/>
    <col min="5374" max="5374" width="15.7109375" style="155" customWidth="1"/>
    <col min="5375" max="5375" width="30.42578125" style="155" customWidth="1"/>
    <col min="5376" max="5387" width="10.7109375" style="155" customWidth="1"/>
    <col min="5388" max="5388" width="12.5703125" style="155" customWidth="1"/>
    <col min="5389" max="5389" width="6.28515625" style="155" bestFit="1" customWidth="1"/>
    <col min="5390" max="5390" width="11.5703125" style="155" customWidth="1"/>
    <col min="5391" max="5629" width="9.140625" style="155"/>
    <col min="5630" max="5630" width="15.7109375" style="155" customWidth="1"/>
    <col min="5631" max="5631" width="30.42578125" style="155" customWidth="1"/>
    <col min="5632" max="5643" width="10.7109375" style="155" customWidth="1"/>
    <col min="5644" max="5644" width="12.5703125" style="155" customWidth="1"/>
    <col min="5645" max="5645" width="6.28515625" style="155" bestFit="1" customWidth="1"/>
    <col min="5646" max="5646" width="11.5703125" style="155" customWidth="1"/>
    <col min="5647" max="5885" width="9.140625" style="155"/>
    <col min="5886" max="5886" width="15.7109375" style="155" customWidth="1"/>
    <col min="5887" max="5887" width="30.42578125" style="155" customWidth="1"/>
    <col min="5888" max="5899" width="10.7109375" style="155" customWidth="1"/>
    <col min="5900" max="5900" width="12.5703125" style="155" customWidth="1"/>
    <col min="5901" max="5901" width="6.28515625" style="155" bestFit="1" customWidth="1"/>
    <col min="5902" max="5902" width="11.5703125" style="155" customWidth="1"/>
    <col min="5903" max="6141" width="9.140625" style="155"/>
    <col min="6142" max="6142" width="15.7109375" style="155" customWidth="1"/>
    <col min="6143" max="6143" width="30.42578125" style="155" customWidth="1"/>
    <col min="6144" max="6155" width="10.7109375" style="155" customWidth="1"/>
    <col min="6156" max="6156" width="12.5703125" style="155" customWidth="1"/>
    <col min="6157" max="6157" width="6.28515625" style="155" bestFit="1" customWidth="1"/>
    <col min="6158" max="6158" width="11.5703125" style="155" customWidth="1"/>
    <col min="6159" max="6397" width="9.140625" style="155"/>
    <col min="6398" max="6398" width="15.7109375" style="155" customWidth="1"/>
    <col min="6399" max="6399" width="30.42578125" style="155" customWidth="1"/>
    <col min="6400" max="6411" width="10.7109375" style="155" customWidth="1"/>
    <col min="6412" max="6412" width="12.5703125" style="155" customWidth="1"/>
    <col min="6413" max="6413" width="6.28515625" style="155" bestFit="1" customWidth="1"/>
    <col min="6414" max="6414" width="11.5703125" style="155" customWidth="1"/>
    <col min="6415" max="6653" width="9.140625" style="155"/>
    <col min="6654" max="6654" width="15.7109375" style="155" customWidth="1"/>
    <col min="6655" max="6655" width="30.42578125" style="155" customWidth="1"/>
    <col min="6656" max="6667" width="10.7109375" style="155" customWidth="1"/>
    <col min="6668" max="6668" width="12.5703125" style="155" customWidth="1"/>
    <col min="6669" max="6669" width="6.28515625" style="155" bestFit="1" customWidth="1"/>
    <col min="6670" max="6670" width="11.5703125" style="155" customWidth="1"/>
    <col min="6671" max="6909" width="9.140625" style="155"/>
    <col min="6910" max="6910" width="15.7109375" style="155" customWidth="1"/>
    <col min="6911" max="6911" width="30.42578125" style="155" customWidth="1"/>
    <col min="6912" max="6923" width="10.7109375" style="155" customWidth="1"/>
    <col min="6924" max="6924" width="12.5703125" style="155" customWidth="1"/>
    <col min="6925" max="6925" width="6.28515625" style="155" bestFit="1" customWidth="1"/>
    <col min="6926" max="6926" width="11.5703125" style="155" customWidth="1"/>
    <col min="6927" max="7165" width="9.140625" style="155"/>
    <col min="7166" max="7166" width="15.7109375" style="155" customWidth="1"/>
    <col min="7167" max="7167" width="30.42578125" style="155" customWidth="1"/>
    <col min="7168" max="7179" width="10.7109375" style="155" customWidth="1"/>
    <col min="7180" max="7180" width="12.5703125" style="155" customWidth="1"/>
    <col min="7181" max="7181" width="6.28515625" style="155" bestFit="1" customWidth="1"/>
    <col min="7182" max="7182" width="11.5703125" style="155" customWidth="1"/>
    <col min="7183" max="7421" width="9.140625" style="155"/>
    <col min="7422" max="7422" width="15.7109375" style="155" customWidth="1"/>
    <col min="7423" max="7423" width="30.42578125" style="155" customWidth="1"/>
    <col min="7424" max="7435" width="10.7109375" style="155" customWidth="1"/>
    <col min="7436" max="7436" width="12.5703125" style="155" customWidth="1"/>
    <col min="7437" max="7437" width="6.28515625" style="155" bestFit="1" customWidth="1"/>
    <col min="7438" max="7438" width="11.5703125" style="155" customWidth="1"/>
    <col min="7439" max="7677" width="9.140625" style="155"/>
    <col min="7678" max="7678" width="15.7109375" style="155" customWidth="1"/>
    <col min="7679" max="7679" width="30.42578125" style="155" customWidth="1"/>
    <col min="7680" max="7691" width="10.7109375" style="155" customWidth="1"/>
    <col min="7692" max="7692" width="12.5703125" style="155" customWidth="1"/>
    <col min="7693" max="7693" width="6.28515625" style="155" bestFit="1" customWidth="1"/>
    <col min="7694" max="7694" width="11.5703125" style="155" customWidth="1"/>
    <col min="7695" max="7933" width="9.140625" style="155"/>
    <col min="7934" max="7934" width="15.7109375" style="155" customWidth="1"/>
    <col min="7935" max="7935" width="30.42578125" style="155" customWidth="1"/>
    <col min="7936" max="7947" width="10.7109375" style="155" customWidth="1"/>
    <col min="7948" max="7948" width="12.5703125" style="155" customWidth="1"/>
    <col min="7949" max="7949" width="6.28515625" style="155" bestFit="1" customWidth="1"/>
    <col min="7950" max="7950" width="11.5703125" style="155" customWidth="1"/>
    <col min="7951" max="8189" width="9.140625" style="155"/>
    <col min="8190" max="8190" width="15.7109375" style="155" customWidth="1"/>
    <col min="8191" max="8191" width="30.42578125" style="155" customWidth="1"/>
    <col min="8192" max="8203" width="10.7109375" style="155" customWidth="1"/>
    <col min="8204" max="8204" width="12.5703125" style="155" customWidth="1"/>
    <col min="8205" max="8205" width="6.28515625" style="155" bestFit="1" customWidth="1"/>
    <col min="8206" max="8206" width="11.5703125" style="155" customWidth="1"/>
    <col min="8207" max="8445" width="9.140625" style="155"/>
    <col min="8446" max="8446" width="15.7109375" style="155" customWidth="1"/>
    <col min="8447" max="8447" width="30.42578125" style="155" customWidth="1"/>
    <col min="8448" max="8459" width="10.7109375" style="155" customWidth="1"/>
    <col min="8460" max="8460" width="12.5703125" style="155" customWidth="1"/>
    <col min="8461" max="8461" width="6.28515625" style="155" bestFit="1" customWidth="1"/>
    <col min="8462" max="8462" width="11.5703125" style="155" customWidth="1"/>
    <col min="8463" max="8701" width="9.140625" style="155"/>
    <col min="8702" max="8702" width="15.7109375" style="155" customWidth="1"/>
    <col min="8703" max="8703" width="30.42578125" style="155" customWidth="1"/>
    <col min="8704" max="8715" width="10.7109375" style="155" customWidth="1"/>
    <col min="8716" max="8716" width="12.5703125" style="155" customWidth="1"/>
    <col min="8717" max="8717" width="6.28515625" style="155" bestFit="1" customWidth="1"/>
    <col min="8718" max="8718" width="11.5703125" style="155" customWidth="1"/>
    <col min="8719" max="8957" width="9.140625" style="155"/>
    <col min="8958" max="8958" width="15.7109375" style="155" customWidth="1"/>
    <col min="8959" max="8959" width="30.42578125" style="155" customWidth="1"/>
    <col min="8960" max="8971" width="10.7109375" style="155" customWidth="1"/>
    <col min="8972" max="8972" width="12.5703125" style="155" customWidth="1"/>
    <col min="8973" max="8973" width="6.28515625" style="155" bestFit="1" customWidth="1"/>
    <col min="8974" max="8974" width="11.5703125" style="155" customWidth="1"/>
    <col min="8975" max="9213" width="9.140625" style="155"/>
    <col min="9214" max="9214" width="15.7109375" style="155" customWidth="1"/>
    <col min="9215" max="9215" width="30.42578125" style="155" customWidth="1"/>
    <col min="9216" max="9227" width="10.7109375" style="155" customWidth="1"/>
    <col min="9228" max="9228" width="12.5703125" style="155" customWidth="1"/>
    <col min="9229" max="9229" width="6.28515625" style="155" bestFit="1" customWidth="1"/>
    <col min="9230" max="9230" width="11.5703125" style="155" customWidth="1"/>
    <col min="9231" max="9469" width="9.140625" style="155"/>
    <col min="9470" max="9470" width="15.7109375" style="155" customWidth="1"/>
    <col min="9471" max="9471" width="30.42578125" style="155" customWidth="1"/>
    <col min="9472" max="9483" width="10.7109375" style="155" customWidth="1"/>
    <col min="9484" max="9484" width="12.5703125" style="155" customWidth="1"/>
    <col min="9485" max="9485" width="6.28515625" style="155" bestFit="1" customWidth="1"/>
    <col min="9486" max="9486" width="11.5703125" style="155" customWidth="1"/>
    <col min="9487" max="9725" width="9.140625" style="155"/>
    <col min="9726" max="9726" width="15.7109375" style="155" customWidth="1"/>
    <col min="9727" max="9727" width="30.42578125" style="155" customWidth="1"/>
    <col min="9728" max="9739" width="10.7109375" style="155" customWidth="1"/>
    <col min="9740" max="9740" width="12.5703125" style="155" customWidth="1"/>
    <col min="9741" max="9741" width="6.28515625" style="155" bestFit="1" customWidth="1"/>
    <col min="9742" max="9742" width="11.5703125" style="155" customWidth="1"/>
    <col min="9743" max="9981" width="9.140625" style="155"/>
    <col min="9982" max="9982" width="15.7109375" style="155" customWidth="1"/>
    <col min="9983" max="9983" width="30.42578125" style="155" customWidth="1"/>
    <col min="9984" max="9995" width="10.7109375" style="155" customWidth="1"/>
    <col min="9996" max="9996" width="12.5703125" style="155" customWidth="1"/>
    <col min="9997" max="9997" width="6.28515625" style="155" bestFit="1" customWidth="1"/>
    <col min="9998" max="9998" width="11.5703125" style="155" customWidth="1"/>
    <col min="9999" max="10237" width="9.140625" style="155"/>
    <col min="10238" max="10238" width="15.7109375" style="155" customWidth="1"/>
    <col min="10239" max="10239" width="30.42578125" style="155" customWidth="1"/>
    <col min="10240" max="10251" width="10.7109375" style="155" customWidth="1"/>
    <col min="10252" max="10252" width="12.5703125" style="155" customWidth="1"/>
    <col min="10253" max="10253" width="6.28515625" style="155" bestFit="1" customWidth="1"/>
    <col min="10254" max="10254" width="11.5703125" style="155" customWidth="1"/>
    <col min="10255" max="10493" width="9.140625" style="155"/>
    <col min="10494" max="10494" width="15.7109375" style="155" customWidth="1"/>
    <col min="10495" max="10495" width="30.42578125" style="155" customWidth="1"/>
    <col min="10496" max="10507" width="10.7109375" style="155" customWidth="1"/>
    <col min="10508" max="10508" width="12.5703125" style="155" customWidth="1"/>
    <col min="10509" max="10509" width="6.28515625" style="155" bestFit="1" customWidth="1"/>
    <col min="10510" max="10510" width="11.5703125" style="155" customWidth="1"/>
    <col min="10511" max="10749" width="9.140625" style="155"/>
    <col min="10750" max="10750" width="15.7109375" style="155" customWidth="1"/>
    <col min="10751" max="10751" width="30.42578125" style="155" customWidth="1"/>
    <col min="10752" max="10763" width="10.7109375" style="155" customWidth="1"/>
    <col min="10764" max="10764" width="12.5703125" style="155" customWidth="1"/>
    <col min="10765" max="10765" width="6.28515625" style="155" bestFit="1" customWidth="1"/>
    <col min="10766" max="10766" width="11.5703125" style="155" customWidth="1"/>
    <col min="10767" max="11005" width="9.140625" style="155"/>
    <col min="11006" max="11006" width="15.7109375" style="155" customWidth="1"/>
    <col min="11007" max="11007" width="30.42578125" style="155" customWidth="1"/>
    <col min="11008" max="11019" width="10.7109375" style="155" customWidth="1"/>
    <col min="11020" max="11020" width="12.5703125" style="155" customWidth="1"/>
    <col min="11021" max="11021" width="6.28515625" style="155" bestFit="1" customWidth="1"/>
    <col min="11022" max="11022" width="11.5703125" style="155" customWidth="1"/>
    <col min="11023" max="11261" width="9.140625" style="155"/>
    <col min="11262" max="11262" width="15.7109375" style="155" customWidth="1"/>
    <col min="11263" max="11263" width="30.42578125" style="155" customWidth="1"/>
    <col min="11264" max="11275" width="10.7109375" style="155" customWidth="1"/>
    <col min="11276" max="11276" width="12.5703125" style="155" customWidth="1"/>
    <col min="11277" max="11277" width="6.28515625" style="155" bestFit="1" customWidth="1"/>
    <col min="11278" max="11278" width="11.5703125" style="155" customWidth="1"/>
    <col min="11279" max="11517" width="9.140625" style="155"/>
    <col min="11518" max="11518" width="15.7109375" style="155" customWidth="1"/>
    <col min="11519" max="11519" width="30.42578125" style="155" customWidth="1"/>
    <col min="11520" max="11531" width="10.7109375" style="155" customWidth="1"/>
    <col min="11532" max="11532" width="12.5703125" style="155" customWidth="1"/>
    <col min="11533" max="11533" width="6.28515625" style="155" bestFit="1" customWidth="1"/>
    <col min="11534" max="11534" width="11.5703125" style="155" customWidth="1"/>
    <col min="11535" max="11773" width="9.140625" style="155"/>
    <col min="11774" max="11774" width="15.7109375" style="155" customWidth="1"/>
    <col min="11775" max="11775" width="30.42578125" style="155" customWidth="1"/>
    <col min="11776" max="11787" width="10.7109375" style="155" customWidth="1"/>
    <col min="11788" max="11788" width="12.5703125" style="155" customWidth="1"/>
    <col min="11789" max="11789" width="6.28515625" style="155" bestFit="1" customWidth="1"/>
    <col min="11790" max="11790" width="11.5703125" style="155" customWidth="1"/>
    <col min="11791" max="12029" width="9.140625" style="155"/>
    <col min="12030" max="12030" width="15.7109375" style="155" customWidth="1"/>
    <col min="12031" max="12031" width="30.42578125" style="155" customWidth="1"/>
    <col min="12032" max="12043" width="10.7109375" style="155" customWidth="1"/>
    <col min="12044" max="12044" width="12.5703125" style="155" customWidth="1"/>
    <col min="12045" max="12045" width="6.28515625" style="155" bestFit="1" customWidth="1"/>
    <col min="12046" max="12046" width="11.5703125" style="155" customWidth="1"/>
    <col min="12047" max="12285" width="9.140625" style="155"/>
    <col min="12286" max="12286" width="15.7109375" style="155" customWidth="1"/>
    <col min="12287" max="12287" width="30.42578125" style="155" customWidth="1"/>
    <col min="12288" max="12299" width="10.7109375" style="155" customWidth="1"/>
    <col min="12300" max="12300" width="12.5703125" style="155" customWidth="1"/>
    <col min="12301" max="12301" width="6.28515625" style="155" bestFit="1" customWidth="1"/>
    <col min="12302" max="12302" width="11.5703125" style="155" customWidth="1"/>
    <col min="12303" max="12541" width="9.140625" style="155"/>
    <col min="12542" max="12542" width="15.7109375" style="155" customWidth="1"/>
    <col min="12543" max="12543" width="30.42578125" style="155" customWidth="1"/>
    <col min="12544" max="12555" width="10.7109375" style="155" customWidth="1"/>
    <col min="12556" max="12556" width="12.5703125" style="155" customWidth="1"/>
    <col min="12557" max="12557" width="6.28515625" style="155" bestFit="1" customWidth="1"/>
    <col min="12558" max="12558" width="11.5703125" style="155" customWidth="1"/>
    <col min="12559" max="12797" width="9.140625" style="155"/>
    <col min="12798" max="12798" width="15.7109375" style="155" customWidth="1"/>
    <col min="12799" max="12799" width="30.42578125" style="155" customWidth="1"/>
    <col min="12800" max="12811" width="10.7109375" style="155" customWidth="1"/>
    <col min="12812" max="12812" width="12.5703125" style="155" customWidth="1"/>
    <col min="12813" max="12813" width="6.28515625" style="155" bestFit="1" customWidth="1"/>
    <col min="12814" max="12814" width="11.5703125" style="155" customWidth="1"/>
    <col min="12815" max="13053" width="9.140625" style="155"/>
    <col min="13054" max="13054" width="15.7109375" style="155" customWidth="1"/>
    <col min="13055" max="13055" width="30.42578125" style="155" customWidth="1"/>
    <col min="13056" max="13067" width="10.7109375" style="155" customWidth="1"/>
    <col min="13068" max="13068" width="12.5703125" style="155" customWidth="1"/>
    <col min="13069" max="13069" width="6.28515625" style="155" bestFit="1" customWidth="1"/>
    <col min="13070" max="13070" width="11.5703125" style="155" customWidth="1"/>
    <col min="13071" max="13309" width="9.140625" style="155"/>
    <col min="13310" max="13310" width="15.7109375" style="155" customWidth="1"/>
    <col min="13311" max="13311" width="30.42578125" style="155" customWidth="1"/>
    <col min="13312" max="13323" width="10.7109375" style="155" customWidth="1"/>
    <col min="13324" max="13324" width="12.5703125" style="155" customWidth="1"/>
    <col min="13325" max="13325" width="6.28515625" style="155" bestFit="1" customWidth="1"/>
    <col min="13326" max="13326" width="11.5703125" style="155" customWidth="1"/>
    <col min="13327" max="13565" width="9.140625" style="155"/>
    <col min="13566" max="13566" width="15.7109375" style="155" customWidth="1"/>
    <col min="13567" max="13567" width="30.42578125" style="155" customWidth="1"/>
    <col min="13568" max="13579" width="10.7109375" style="155" customWidth="1"/>
    <col min="13580" max="13580" width="12.5703125" style="155" customWidth="1"/>
    <col min="13581" max="13581" width="6.28515625" style="155" bestFit="1" customWidth="1"/>
    <col min="13582" max="13582" width="11.5703125" style="155" customWidth="1"/>
    <col min="13583" max="13821" width="9.140625" style="155"/>
    <col min="13822" max="13822" width="15.7109375" style="155" customWidth="1"/>
    <col min="13823" max="13823" width="30.42578125" style="155" customWidth="1"/>
    <col min="13824" max="13835" width="10.7109375" style="155" customWidth="1"/>
    <col min="13836" max="13836" width="12.5703125" style="155" customWidth="1"/>
    <col min="13837" max="13837" width="6.28515625" style="155" bestFit="1" customWidth="1"/>
    <col min="13838" max="13838" width="11.5703125" style="155" customWidth="1"/>
    <col min="13839" max="14077" width="9.140625" style="155"/>
    <col min="14078" max="14078" width="15.7109375" style="155" customWidth="1"/>
    <col min="14079" max="14079" width="30.42578125" style="155" customWidth="1"/>
    <col min="14080" max="14091" width="10.7109375" style="155" customWidth="1"/>
    <col min="14092" max="14092" width="12.5703125" style="155" customWidth="1"/>
    <col min="14093" max="14093" width="6.28515625" style="155" bestFit="1" customWidth="1"/>
    <col min="14094" max="14094" width="11.5703125" style="155" customWidth="1"/>
    <col min="14095" max="14333" width="9.140625" style="155"/>
    <col min="14334" max="14334" width="15.7109375" style="155" customWidth="1"/>
    <col min="14335" max="14335" width="30.42578125" style="155" customWidth="1"/>
    <col min="14336" max="14347" width="10.7109375" style="155" customWidth="1"/>
    <col min="14348" max="14348" width="12.5703125" style="155" customWidth="1"/>
    <col min="14349" max="14349" width="6.28515625" style="155" bestFit="1" customWidth="1"/>
    <col min="14350" max="14350" width="11.5703125" style="155" customWidth="1"/>
    <col min="14351" max="14589" width="9.140625" style="155"/>
    <col min="14590" max="14590" width="15.7109375" style="155" customWidth="1"/>
    <col min="14591" max="14591" width="30.42578125" style="155" customWidth="1"/>
    <col min="14592" max="14603" width="10.7109375" style="155" customWidth="1"/>
    <col min="14604" max="14604" width="12.5703125" style="155" customWidth="1"/>
    <col min="14605" max="14605" width="6.28515625" style="155" bestFit="1" customWidth="1"/>
    <col min="14606" max="14606" width="11.5703125" style="155" customWidth="1"/>
    <col min="14607" max="14845" width="9.140625" style="155"/>
    <col min="14846" max="14846" width="15.7109375" style="155" customWidth="1"/>
    <col min="14847" max="14847" width="30.42578125" style="155" customWidth="1"/>
    <col min="14848" max="14859" width="10.7109375" style="155" customWidth="1"/>
    <col min="14860" max="14860" width="12.5703125" style="155" customWidth="1"/>
    <col min="14861" max="14861" width="6.28515625" style="155" bestFit="1" customWidth="1"/>
    <col min="14862" max="14862" width="11.5703125" style="155" customWidth="1"/>
    <col min="14863" max="15101" width="9.140625" style="155"/>
    <col min="15102" max="15102" width="15.7109375" style="155" customWidth="1"/>
    <col min="15103" max="15103" width="30.42578125" style="155" customWidth="1"/>
    <col min="15104" max="15115" width="10.7109375" style="155" customWidth="1"/>
    <col min="15116" max="15116" width="12.5703125" style="155" customWidth="1"/>
    <col min="15117" max="15117" width="6.28515625" style="155" bestFit="1" customWidth="1"/>
    <col min="15118" max="15118" width="11.5703125" style="155" customWidth="1"/>
    <col min="15119" max="15357" width="9.140625" style="155"/>
    <col min="15358" max="15358" width="15.7109375" style="155" customWidth="1"/>
    <col min="15359" max="15359" width="30.42578125" style="155" customWidth="1"/>
    <col min="15360" max="15371" width="10.7109375" style="155" customWidth="1"/>
    <col min="15372" max="15372" width="12.5703125" style="155" customWidth="1"/>
    <col min="15373" max="15373" width="6.28515625" style="155" bestFit="1" customWidth="1"/>
    <col min="15374" max="15374" width="11.5703125" style="155" customWidth="1"/>
    <col min="15375" max="15613" width="9.140625" style="155"/>
    <col min="15614" max="15614" width="15.7109375" style="155" customWidth="1"/>
    <col min="15615" max="15615" width="30.42578125" style="155" customWidth="1"/>
    <col min="15616" max="15627" width="10.7109375" style="155" customWidth="1"/>
    <col min="15628" max="15628" width="12.5703125" style="155" customWidth="1"/>
    <col min="15629" max="15629" width="6.28515625" style="155" bestFit="1" customWidth="1"/>
    <col min="15630" max="15630" width="11.5703125" style="155" customWidth="1"/>
    <col min="15631" max="15869" width="9.140625" style="155"/>
    <col min="15870" max="15870" width="15.7109375" style="155" customWidth="1"/>
    <col min="15871" max="15871" width="30.42578125" style="155" customWidth="1"/>
    <col min="15872" max="15883" width="10.7109375" style="155" customWidth="1"/>
    <col min="15884" max="15884" width="12.5703125" style="155" customWidth="1"/>
    <col min="15885" max="15885" width="6.28515625" style="155" bestFit="1" customWidth="1"/>
    <col min="15886" max="15886" width="11.5703125" style="155" customWidth="1"/>
    <col min="15887" max="16125" width="9.140625" style="155"/>
    <col min="16126" max="16126" width="15.7109375" style="155" customWidth="1"/>
    <col min="16127" max="16127" width="30.42578125" style="155" customWidth="1"/>
    <col min="16128" max="16139" width="10.7109375" style="155" customWidth="1"/>
    <col min="16140" max="16140" width="12.5703125" style="155" customWidth="1"/>
    <col min="16141" max="16141" width="6.28515625" style="155" bestFit="1" customWidth="1"/>
    <col min="16142" max="16142" width="11.5703125" style="155" customWidth="1"/>
    <col min="16143" max="16384" width="9.140625" style="155"/>
  </cols>
  <sheetData>
    <row r="2" spans="2:14">
      <c r="C2" s="101"/>
      <c r="D2" s="101"/>
      <c r="F2" s="101"/>
      <c r="G2" s="101"/>
      <c r="H2" s="742" t="s">
        <v>906</v>
      </c>
      <c r="I2" s="101"/>
      <c r="J2" s="101"/>
      <c r="K2" s="101"/>
      <c r="M2" s="101"/>
    </row>
    <row r="3" spans="2:14">
      <c r="C3" s="101"/>
      <c r="D3" s="101"/>
      <c r="F3" s="101"/>
      <c r="G3" s="101"/>
      <c r="H3" s="373" t="s">
        <v>721</v>
      </c>
      <c r="I3" s="101"/>
      <c r="J3" s="101"/>
      <c r="K3" s="101"/>
      <c r="M3" s="101"/>
    </row>
    <row r="4" spans="2:14">
      <c r="C4" s="101"/>
      <c r="D4" s="101"/>
      <c r="F4" s="101"/>
      <c r="G4" s="101"/>
      <c r="H4" s="342" t="s">
        <v>615</v>
      </c>
      <c r="I4" s="101"/>
      <c r="J4" s="101"/>
      <c r="K4" s="101"/>
      <c r="L4" s="62"/>
      <c r="M4" s="101"/>
      <c r="N4" s="62"/>
    </row>
    <row r="5" spans="2:14">
      <c r="C5" s="101"/>
      <c r="D5" s="101"/>
      <c r="F5" s="101"/>
      <c r="G5" s="101"/>
      <c r="H5" s="373"/>
      <c r="I5" s="101"/>
      <c r="J5" s="101"/>
      <c r="K5" s="101"/>
      <c r="L5" s="62"/>
      <c r="M5" s="101"/>
      <c r="N5" s="62"/>
    </row>
    <row r="6" spans="2:14">
      <c r="B6" s="46"/>
      <c r="C6" s="154"/>
      <c r="D6" s="154"/>
      <c r="E6" s="154"/>
      <c r="F6" s="154"/>
      <c r="G6" s="154"/>
      <c r="H6" s="154"/>
      <c r="I6" s="154"/>
      <c r="J6" s="154"/>
      <c r="K6" s="154"/>
      <c r="M6" s="154"/>
      <c r="N6" s="52" t="s">
        <v>117</v>
      </c>
    </row>
    <row r="7" spans="2:14" ht="15" customHeight="1">
      <c r="B7" s="1376" t="s">
        <v>616</v>
      </c>
      <c r="C7" s="1380" t="s">
        <v>38</v>
      </c>
      <c r="D7" s="1381"/>
      <c r="E7" s="1380" t="s">
        <v>146</v>
      </c>
      <c r="F7" s="1381"/>
      <c r="G7" s="1380" t="s">
        <v>147</v>
      </c>
      <c r="H7" s="1381"/>
      <c r="I7" s="1381"/>
      <c r="J7" s="1381"/>
      <c r="K7" s="1380" t="s">
        <v>148</v>
      </c>
      <c r="L7" s="1382"/>
      <c r="M7" s="1380" t="s">
        <v>149</v>
      </c>
      <c r="N7" s="1382"/>
    </row>
    <row r="8" spans="2:14" ht="28.5">
      <c r="B8" s="1376"/>
      <c r="C8" s="409" t="s">
        <v>413</v>
      </c>
      <c r="D8" s="356" t="s">
        <v>414</v>
      </c>
      <c r="E8" s="357" t="s">
        <v>413</v>
      </c>
      <c r="F8" s="356" t="s">
        <v>672</v>
      </c>
      <c r="G8" s="356" t="s">
        <v>413</v>
      </c>
      <c r="H8" s="356" t="s">
        <v>673</v>
      </c>
      <c r="I8" s="369" t="s">
        <v>1309</v>
      </c>
      <c r="J8" s="369" t="s">
        <v>1310</v>
      </c>
      <c r="K8" s="369" t="s">
        <v>413</v>
      </c>
      <c r="L8" s="368" t="s">
        <v>689</v>
      </c>
      <c r="M8" s="369" t="s">
        <v>413</v>
      </c>
      <c r="N8" s="368" t="s">
        <v>689</v>
      </c>
    </row>
    <row r="9" spans="2:14">
      <c r="B9" s="66" t="s">
        <v>617</v>
      </c>
      <c r="C9" s="669"/>
      <c r="D9" s="455">
        <v>0</v>
      </c>
      <c r="E9" s="415"/>
      <c r="F9" s="455">
        <v>0</v>
      </c>
      <c r="G9" s="415"/>
      <c r="H9" s="455">
        <v>0</v>
      </c>
      <c r="I9" s="14"/>
      <c r="J9" s="455">
        <v>0</v>
      </c>
      <c r="K9" s="415"/>
      <c r="L9" s="455">
        <v>0</v>
      </c>
      <c r="M9" s="415"/>
      <c r="N9" s="455">
        <v>0</v>
      </c>
    </row>
    <row r="10" spans="2:14">
      <c r="B10" s="66" t="s">
        <v>662</v>
      </c>
      <c r="C10" s="670"/>
      <c r="D10" s="455">
        <v>0</v>
      </c>
      <c r="E10" s="416"/>
      <c r="F10" s="455">
        <v>0</v>
      </c>
      <c r="G10" s="416"/>
      <c r="H10" s="455">
        <v>0</v>
      </c>
      <c r="I10" s="14"/>
      <c r="J10" s="455">
        <v>0</v>
      </c>
      <c r="K10" s="416"/>
      <c r="L10" s="455">
        <v>0</v>
      </c>
      <c r="M10" s="416"/>
      <c r="N10" s="455">
        <v>0</v>
      </c>
    </row>
    <row r="11" spans="2:14">
      <c r="B11" s="66" t="s">
        <v>618</v>
      </c>
      <c r="C11" s="670"/>
      <c r="D11" s="455">
        <v>0</v>
      </c>
      <c r="E11" s="416"/>
      <c r="F11" s="455">
        <v>0</v>
      </c>
      <c r="G11" s="416"/>
      <c r="H11" s="455">
        <v>0</v>
      </c>
      <c r="I11" s="14"/>
      <c r="J11" s="455">
        <v>0</v>
      </c>
      <c r="K11" s="416"/>
      <c r="L11" s="455">
        <v>0</v>
      </c>
      <c r="M11" s="416"/>
      <c r="N11" s="455">
        <v>0</v>
      </c>
    </row>
    <row r="12" spans="2:14">
      <c r="B12" s="66" t="s">
        <v>619</v>
      </c>
      <c r="C12" s="670"/>
      <c r="D12" s="810">
        <v>0</v>
      </c>
      <c r="E12" s="416"/>
      <c r="F12" s="810">
        <v>0</v>
      </c>
      <c r="G12" s="416"/>
      <c r="H12" s="810">
        <v>0</v>
      </c>
      <c r="I12" s="811"/>
      <c r="J12" s="810">
        <v>0</v>
      </c>
      <c r="K12" s="416"/>
      <c r="L12" s="810">
        <v>0</v>
      </c>
      <c r="M12" s="416"/>
      <c r="N12" s="810">
        <v>0</v>
      </c>
    </row>
    <row r="13" spans="2:14">
      <c r="B13" s="67" t="s">
        <v>796</v>
      </c>
      <c r="C13" s="716">
        <f>'F1'!C14</f>
        <v>75.017672810000008</v>
      </c>
      <c r="D13" s="448">
        <f>'F1'!D14</f>
        <v>75.017672810000008</v>
      </c>
      <c r="E13" s="583">
        <f>'F1'!C35</f>
        <v>87.138208294645452</v>
      </c>
      <c r="F13" s="454">
        <f>'F1'!D35</f>
        <v>74.873302989999999</v>
      </c>
      <c r="G13" s="583">
        <f>'F1'!F35</f>
        <v>99.972325542864624</v>
      </c>
      <c r="H13" s="448">
        <f>'F1'!G35</f>
        <v>39.735758199999999</v>
      </c>
      <c r="I13" s="448">
        <f>'F1'!H35</f>
        <v>35.529996960000005</v>
      </c>
      <c r="J13" s="448">
        <f>'F1'!I35</f>
        <v>75.265755159999998</v>
      </c>
      <c r="K13" s="583">
        <f>'F1'!K35</f>
        <v>105.17204879829328</v>
      </c>
      <c r="L13" s="444">
        <f>'F1'!L35</f>
        <v>84.618412711600016</v>
      </c>
      <c r="M13" s="583">
        <f>'F1'!M35</f>
        <v>110.24038349574712</v>
      </c>
      <c r="N13" s="448">
        <f>'F1'!N35</f>
        <v>86.414596838715994</v>
      </c>
    </row>
    <row r="14" spans="2:14">
      <c r="B14" s="286" t="s">
        <v>663</v>
      </c>
      <c r="C14" s="455">
        <f t="shared" ref="C14:N14" si="0">SUM(C9:C13)</f>
        <v>75.017672810000008</v>
      </c>
      <c r="D14" s="420">
        <f t="shared" si="0"/>
        <v>75.017672810000008</v>
      </c>
      <c r="E14" s="455">
        <f t="shared" si="0"/>
        <v>87.138208294645452</v>
      </c>
      <c r="F14" s="420">
        <f t="shared" si="0"/>
        <v>74.873302989999999</v>
      </c>
      <c r="G14" s="455">
        <f t="shared" si="0"/>
        <v>99.972325542864624</v>
      </c>
      <c r="H14" s="420">
        <f t="shared" si="0"/>
        <v>39.735758199999999</v>
      </c>
      <c r="I14" s="420">
        <f t="shared" si="0"/>
        <v>35.529996960000005</v>
      </c>
      <c r="J14" s="420">
        <f t="shared" si="0"/>
        <v>75.265755159999998</v>
      </c>
      <c r="K14" s="455">
        <f t="shared" si="0"/>
        <v>105.17204879829328</v>
      </c>
      <c r="L14" s="420">
        <f t="shared" si="0"/>
        <v>84.618412711600016</v>
      </c>
      <c r="M14" s="455">
        <f t="shared" si="0"/>
        <v>110.24038349574712</v>
      </c>
      <c r="N14" s="420">
        <f t="shared" si="0"/>
        <v>86.414596838715994</v>
      </c>
    </row>
    <row r="15" spans="2:14">
      <c r="B15" s="132" t="s">
        <v>620</v>
      </c>
      <c r="C15" s="455">
        <f>'F1'!C22</f>
        <v>6.8553909700000002</v>
      </c>
      <c r="D15" s="420">
        <f>'F1'!D22</f>
        <v>6.8553909700000002</v>
      </c>
      <c r="E15" s="455">
        <f>'F1'!C43</f>
        <v>7.0566713669727275</v>
      </c>
      <c r="F15" s="453">
        <f>'F1'!D43</f>
        <v>8.0099157500000011</v>
      </c>
      <c r="G15" s="455">
        <f>'F1'!F43</f>
        <v>7.1272380806424556</v>
      </c>
      <c r="H15" s="420">
        <f>'F1'!G43</f>
        <v>4.2302636900000001</v>
      </c>
      <c r="I15" s="420">
        <f>'F1'!H43</f>
        <v>3.9112130899999995</v>
      </c>
      <c r="J15" s="420">
        <f>'F1'!I43</f>
        <v>8.1414767799999996</v>
      </c>
      <c r="K15" s="455">
        <f>'F1'!K43</f>
        <v>7.1985104614488788</v>
      </c>
      <c r="L15" s="443">
        <f>'F1'!L43</f>
        <v>8.2228915477999998</v>
      </c>
      <c r="M15" s="455">
        <f>'F1'!M43</f>
        <v>7.2704955660633681</v>
      </c>
      <c r="N15" s="443">
        <f>'F1'!N43</f>
        <v>8.3051204632779996</v>
      </c>
    </row>
    <row r="16" spans="2:14">
      <c r="B16" s="63" t="s">
        <v>115</v>
      </c>
      <c r="C16" s="455">
        <f>C15+C14</f>
        <v>81.87306378000001</v>
      </c>
      <c r="D16" s="420">
        <f t="shared" ref="D16:H16" si="1">D15+D14</f>
        <v>81.87306378000001</v>
      </c>
      <c r="E16" s="455">
        <f t="shared" si="1"/>
        <v>94.194879661618174</v>
      </c>
      <c r="F16" s="420">
        <f t="shared" si="1"/>
        <v>82.883218740000004</v>
      </c>
      <c r="G16" s="455">
        <f t="shared" si="1"/>
        <v>107.09956362350708</v>
      </c>
      <c r="H16" s="420">
        <f t="shared" si="1"/>
        <v>43.96602189</v>
      </c>
      <c r="I16" s="420">
        <f t="shared" ref="I16:K16" si="2">I15+I14</f>
        <v>39.441210050000002</v>
      </c>
      <c r="J16" s="420">
        <f t="shared" si="2"/>
        <v>83.407231940000003</v>
      </c>
      <c r="K16" s="455">
        <f t="shared" si="2"/>
        <v>112.37055925974215</v>
      </c>
      <c r="L16" s="420">
        <f>L15+L14</f>
        <v>92.841304259400019</v>
      </c>
      <c r="M16" s="455">
        <f>M15+M14</f>
        <v>117.5108790618105</v>
      </c>
      <c r="N16" s="420">
        <f>N15+N14</f>
        <v>94.719717301993995</v>
      </c>
    </row>
    <row r="17" spans="2:3">
      <c r="B17" s="181"/>
    </row>
    <row r="18" spans="2:3">
      <c r="B18" s="18" t="s">
        <v>421</v>
      </c>
      <c r="C18" s="18" t="s">
        <v>747</v>
      </c>
    </row>
  </sheetData>
  <mergeCells count="6">
    <mergeCell ref="G7:J7"/>
    <mergeCell ref="K7:L7"/>
    <mergeCell ref="M7:N7"/>
    <mergeCell ref="B7:B8"/>
    <mergeCell ref="C7:D7"/>
    <mergeCell ref="E7:F7"/>
  </mergeCells>
  <pageMargins left="0.45" right="0.23622047244094491" top="0.98425196850393704" bottom="0.98425196850393704" header="0.23622047244094491" footer="0.23622047244094491"/>
  <pageSetup paperSize="9" scale="69" orientation="landscape" r:id="rId1"/>
  <headerFooter alignWithMargins="0">
    <oddHeade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B3:O44"/>
  <sheetViews>
    <sheetView showGridLines="0" view="pageBreakPreview" topLeftCell="A12" zoomScale="70" zoomScaleNormal="75" zoomScaleSheetLayoutView="70" workbookViewId="0">
      <selection activeCell="C11" sqref="C11:C12"/>
    </sheetView>
  </sheetViews>
  <sheetFormatPr defaultColWidth="9.140625" defaultRowHeight="15"/>
  <cols>
    <col min="1" max="1" width="6.85546875" style="18" customWidth="1"/>
    <col min="2" max="2" width="8.140625" style="18" customWidth="1"/>
    <col min="3" max="3" width="23.7109375" style="18" customWidth="1"/>
    <col min="4" max="4" width="17.85546875" style="18" bestFit="1" customWidth="1"/>
    <col min="5" max="5" width="15.28515625" style="18" customWidth="1"/>
    <col min="6" max="6" width="16.140625" style="18" customWidth="1"/>
    <col min="7" max="7" width="12.28515625" style="18" customWidth="1"/>
    <col min="8" max="8" width="13.85546875" style="18" customWidth="1"/>
    <col min="9" max="9" width="13.140625" style="18" customWidth="1"/>
    <col min="10" max="10" width="20.42578125" style="18" customWidth="1"/>
    <col min="11" max="11" width="14.42578125" style="18" customWidth="1"/>
    <col min="12" max="12" width="20.140625" style="18" customWidth="1"/>
    <col min="13" max="13" width="15.85546875" style="18" customWidth="1"/>
    <col min="14" max="14" width="23" style="18" customWidth="1"/>
    <col min="15" max="257" width="9.140625" style="18"/>
    <col min="258" max="258" width="6.85546875" style="18" customWidth="1"/>
    <col min="259" max="259" width="7" style="18" customWidth="1"/>
    <col min="260" max="260" width="17.85546875" style="18" bestFit="1" customWidth="1"/>
    <col min="261" max="261" width="12.85546875" style="18" customWidth="1"/>
    <col min="262" max="262" width="24" style="18" customWidth="1"/>
    <col min="263" max="263" width="13.42578125" style="18" bestFit="1" customWidth="1"/>
    <col min="264" max="264" width="13.85546875" style="18" customWidth="1"/>
    <col min="265" max="265" width="13.140625" style="18" customWidth="1"/>
    <col min="266" max="266" width="22.42578125" style="18" customWidth="1"/>
    <col min="267" max="267" width="18.42578125" style="18" customWidth="1"/>
    <col min="268" max="268" width="22" style="18" customWidth="1"/>
    <col min="269" max="269" width="21.28515625" style="18" customWidth="1"/>
    <col min="270" max="270" width="23" style="18" customWidth="1"/>
    <col min="271" max="513" width="9.140625" style="18"/>
    <col min="514" max="514" width="6.85546875" style="18" customWidth="1"/>
    <col min="515" max="515" width="7" style="18" customWidth="1"/>
    <col min="516" max="516" width="17.85546875" style="18" bestFit="1" customWidth="1"/>
    <col min="517" max="517" width="12.85546875" style="18" customWidth="1"/>
    <col min="518" max="518" width="24" style="18" customWidth="1"/>
    <col min="519" max="519" width="13.42578125" style="18" bestFit="1" customWidth="1"/>
    <col min="520" max="520" width="13.85546875" style="18" customWidth="1"/>
    <col min="521" max="521" width="13.140625" style="18" customWidth="1"/>
    <col min="522" max="522" width="22.42578125" style="18" customWidth="1"/>
    <col min="523" max="523" width="18.42578125" style="18" customWidth="1"/>
    <col min="524" max="524" width="22" style="18" customWidth="1"/>
    <col min="525" max="525" width="21.28515625" style="18" customWidth="1"/>
    <col min="526" max="526" width="23" style="18" customWidth="1"/>
    <col min="527" max="769" width="9.140625" style="18"/>
    <col min="770" max="770" width="6.85546875" style="18" customWidth="1"/>
    <col min="771" max="771" width="7" style="18" customWidth="1"/>
    <col min="772" max="772" width="17.85546875" style="18" bestFit="1" customWidth="1"/>
    <col min="773" max="773" width="12.85546875" style="18" customWidth="1"/>
    <col min="774" max="774" width="24" style="18" customWidth="1"/>
    <col min="775" max="775" width="13.42578125" style="18" bestFit="1" customWidth="1"/>
    <col min="776" max="776" width="13.85546875" style="18" customWidth="1"/>
    <col min="777" max="777" width="13.140625" style="18" customWidth="1"/>
    <col min="778" max="778" width="22.42578125" style="18" customWidth="1"/>
    <col min="779" max="779" width="18.42578125" style="18" customWidth="1"/>
    <col min="780" max="780" width="22" style="18" customWidth="1"/>
    <col min="781" max="781" width="21.28515625" style="18" customWidth="1"/>
    <col min="782" max="782" width="23" style="18" customWidth="1"/>
    <col min="783" max="1025" width="9.140625" style="18"/>
    <col min="1026" max="1026" width="6.85546875" style="18" customWidth="1"/>
    <col min="1027" max="1027" width="7" style="18" customWidth="1"/>
    <col min="1028" max="1028" width="17.85546875" style="18" bestFit="1" customWidth="1"/>
    <col min="1029" max="1029" width="12.85546875" style="18" customWidth="1"/>
    <col min="1030" max="1030" width="24" style="18" customWidth="1"/>
    <col min="1031" max="1031" width="13.42578125" style="18" bestFit="1" customWidth="1"/>
    <col min="1032" max="1032" width="13.85546875" style="18" customWidth="1"/>
    <col min="1033" max="1033" width="13.140625" style="18" customWidth="1"/>
    <col min="1034" max="1034" width="22.42578125" style="18" customWidth="1"/>
    <col min="1035" max="1035" width="18.42578125" style="18" customWidth="1"/>
    <col min="1036" max="1036" width="22" style="18" customWidth="1"/>
    <col min="1037" max="1037" width="21.28515625" style="18" customWidth="1"/>
    <col min="1038" max="1038" width="23" style="18" customWidth="1"/>
    <col min="1039" max="1281" width="9.140625" style="18"/>
    <col min="1282" max="1282" width="6.85546875" style="18" customWidth="1"/>
    <col min="1283" max="1283" width="7" style="18" customWidth="1"/>
    <col min="1284" max="1284" width="17.85546875" style="18" bestFit="1" customWidth="1"/>
    <col min="1285" max="1285" width="12.85546875" style="18" customWidth="1"/>
    <col min="1286" max="1286" width="24" style="18" customWidth="1"/>
    <col min="1287" max="1287" width="13.42578125" style="18" bestFit="1" customWidth="1"/>
    <col min="1288" max="1288" width="13.85546875" style="18" customWidth="1"/>
    <col min="1289" max="1289" width="13.140625" style="18" customWidth="1"/>
    <col min="1290" max="1290" width="22.42578125" style="18" customWidth="1"/>
    <col min="1291" max="1291" width="18.42578125" style="18" customWidth="1"/>
    <col min="1292" max="1292" width="22" style="18" customWidth="1"/>
    <col min="1293" max="1293" width="21.28515625" style="18" customWidth="1"/>
    <col min="1294" max="1294" width="23" style="18" customWidth="1"/>
    <col min="1295" max="1537" width="9.140625" style="18"/>
    <col min="1538" max="1538" width="6.85546875" style="18" customWidth="1"/>
    <col min="1539" max="1539" width="7" style="18" customWidth="1"/>
    <col min="1540" max="1540" width="17.85546875" style="18" bestFit="1" customWidth="1"/>
    <col min="1541" max="1541" width="12.85546875" style="18" customWidth="1"/>
    <col min="1542" max="1542" width="24" style="18" customWidth="1"/>
    <col min="1543" max="1543" width="13.42578125" style="18" bestFit="1" customWidth="1"/>
    <col min="1544" max="1544" width="13.85546875" style="18" customWidth="1"/>
    <col min="1545" max="1545" width="13.140625" style="18" customWidth="1"/>
    <col min="1546" max="1546" width="22.42578125" style="18" customWidth="1"/>
    <col min="1547" max="1547" width="18.42578125" style="18" customWidth="1"/>
    <col min="1548" max="1548" width="22" style="18" customWidth="1"/>
    <col min="1549" max="1549" width="21.28515625" style="18" customWidth="1"/>
    <col min="1550" max="1550" width="23" style="18" customWidth="1"/>
    <col min="1551" max="1793" width="9.140625" style="18"/>
    <col min="1794" max="1794" width="6.85546875" style="18" customWidth="1"/>
    <col min="1795" max="1795" width="7" style="18" customWidth="1"/>
    <col min="1796" max="1796" width="17.85546875" style="18" bestFit="1" customWidth="1"/>
    <col min="1797" max="1797" width="12.85546875" style="18" customWidth="1"/>
    <col min="1798" max="1798" width="24" style="18" customWidth="1"/>
    <col min="1799" max="1799" width="13.42578125" style="18" bestFit="1" customWidth="1"/>
    <col min="1800" max="1800" width="13.85546875" style="18" customWidth="1"/>
    <col min="1801" max="1801" width="13.140625" style="18" customWidth="1"/>
    <col min="1802" max="1802" width="22.42578125" style="18" customWidth="1"/>
    <col min="1803" max="1803" width="18.42578125" style="18" customWidth="1"/>
    <col min="1804" max="1804" width="22" style="18" customWidth="1"/>
    <col min="1805" max="1805" width="21.28515625" style="18" customWidth="1"/>
    <col min="1806" max="1806" width="23" style="18" customWidth="1"/>
    <col min="1807" max="2049" width="9.140625" style="18"/>
    <col min="2050" max="2050" width="6.85546875" style="18" customWidth="1"/>
    <col min="2051" max="2051" width="7" style="18" customWidth="1"/>
    <col min="2052" max="2052" width="17.85546875" style="18" bestFit="1" customWidth="1"/>
    <col min="2053" max="2053" width="12.85546875" style="18" customWidth="1"/>
    <col min="2054" max="2054" width="24" style="18" customWidth="1"/>
    <col min="2055" max="2055" width="13.42578125" style="18" bestFit="1" customWidth="1"/>
    <col min="2056" max="2056" width="13.85546875" style="18" customWidth="1"/>
    <col min="2057" max="2057" width="13.140625" style="18" customWidth="1"/>
    <col min="2058" max="2058" width="22.42578125" style="18" customWidth="1"/>
    <col min="2059" max="2059" width="18.42578125" style="18" customWidth="1"/>
    <col min="2060" max="2060" width="22" style="18" customWidth="1"/>
    <col min="2061" max="2061" width="21.28515625" style="18" customWidth="1"/>
    <col min="2062" max="2062" width="23" style="18" customWidth="1"/>
    <col min="2063" max="2305" width="9.140625" style="18"/>
    <col min="2306" max="2306" width="6.85546875" style="18" customWidth="1"/>
    <col min="2307" max="2307" width="7" style="18" customWidth="1"/>
    <col min="2308" max="2308" width="17.85546875" style="18" bestFit="1" customWidth="1"/>
    <col min="2309" max="2309" width="12.85546875" style="18" customWidth="1"/>
    <col min="2310" max="2310" width="24" style="18" customWidth="1"/>
    <col min="2311" max="2311" width="13.42578125" style="18" bestFit="1" customWidth="1"/>
    <col min="2312" max="2312" width="13.85546875" style="18" customWidth="1"/>
    <col min="2313" max="2313" width="13.140625" style="18" customWidth="1"/>
    <col min="2314" max="2314" width="22.42578125" style="18" customWidth="1"/>
    <col min="2315" max="2315" width="18.42578125" style="18" customWidth="1"/>
    <col min="2316" max="2316" width="22" style="18" customWidth="1"/>
    <col min="2317" max="2317" width="21.28515625" style="18" customWidth="1"/>
    <col min="2318" max="2318" width="23" style="18" customWidth="1"/>
    <col min="2319" max="2561" width="9.140625" style="18"/>
    <col min="2562" max="2562" width="6.85546875" style="18" customWidth="1"/>
    <col min="2563" max="2563" width="7" style="18" customWidth="1"/>
    <col min="2564" max="2564" width="17.85546875" style="18" bestFit="1" customWidth="1"/>
    <col min="2565" max="2565" width="12.85546875" style="18" customWidth="1"/>
    <col min="2566" max="2566" width="24" style="18" customWidth="1"/>
    <col min="2567" max="2567" width="13.42578125" style="18" bestFit="1" customWidth="1"/>
    <col min="2568" max="2568" width="13.85546875" style="18" customWidth="1"/>
    <col min="2569" max="2569" width="13.140625" style="18" customWidth="1"/>
    <col min="2570" max="2570" width="22.42578125" style="18" customWidth="1"/>
    <col min="2571" max="2571" width="18.42578125" style="18" customWidth="1"/>
    <col min="2572" max="2572" width="22" style="18" customWidth="1"/>
    <col min="2573" max="2573" width="21.28515625" style="18" customWidth="1"/>
    <col min="2574" max="2574" width="23" style="18" customWidth="1"/>
    <col min="2575" max="2817" width="9.140625" style="18"/>
    <col min="2818" max="2818" width="6.85546875" style="18" customWidth="1"/>
    <col min="2819" max="2819" width="7" style="18" customWidth="1"/>
    <col min="2820" max="2820" width="17.85546875" style="18" bestFit="1" customWidth="1"/>
    <col min="2821" max="2821" width="12.85546875" style="18" customWidth="1"/>
    <col min="2822" max="2822" width="24" style="18" customWidth="1"/>
    <col min="2823" max="2823" width="13.42578125" style="18" bestFit="1" customWidth="1"/>
    <col min="2824" max="2824" width="13.85546875" style="18" customWidth="1"/>
    <col min="2825" max="2825" width="13.140625" style="18" customWidth="1"/>
    <col min="2826" max="2826" width="22.42578125" style="18" customWidth="1"/>
    <col min="2827" max="2827" width="18.42578125" style="18" customWidth="1"/>
    <col min="2828" max="2828" width="22" style="18" customWidth="1"/>
    <col min="2829" max="2829" width="21.28515625" style="18" customWidth="1"/>
    <col min="2830" max="2830" width="23" style="18" customWidth="1"/>
    <col min="2831" max="3073" width="9.140625" style="18"/>
    <col min="3074" max="3074" width="6.85546875" style="18" customWidth="1"/>
    <col min="3075" max="3075" width="7" style="18" customWidth="1"/>
    <col min="3076" max="3076" width="17.85546875" style="18" bestFit="1" customWidth="1"/>
    <col min="3077" max="3077" width="12.85546875" style="18" customWidth="1"/>
    <col min="3078" max="3078" width="24" style="18" customWidth="1"/>
    <col min="3079" max="3079" width="13.42578125" style="18" bestFit="1" customWidth="1"/>
    <col min="3080" max="3080" width="13.85546875" style="18" customWidth="1"/>
    <col min="3081" max="3081" width="13.140625" style="18" customWidth="1"/>
    <col min="3082" max="3082" width="22.42578125" style="18" customWidth="1"/>
    <col min="3083" max="3083" width="18.42578125" style="18" customWidth="1"/>
    <col min="3084" max="3084" width="22" style="18" customWidth="1"/>
    <col min="3085" max="3085" width="21.28515625" style="18" customWidth="1"/>
    <col min="3086" max="3086" width="23" style="18" customWidth="1"/>
    <col min="3087" max="3329" width="9.140625" style="18"/>
    <col min="3330" max="3330" width="6.85546875" style="18" customWidth="1"/>
    <col min="3331" max="3331" width="7" style="18" customWidth="1"/>
    <col min="3332" max="3332" width="17.85546875" style="18" bestFit="1" customWidth="1"/>
    <col min="3333" max="3333" width="12.85546875" style="18" customWidth="1"/>
    <col min="3334" max="3334" width="24" style="18" customWidth="1"/>
    <col min="3335" max="3335" width="13.42578125" style="18" bestFit="1" customWidth="1"/>
    <col min="3336" max="3336" width="13.85546875" style="18" customWidth="1"/>
    <col min="3337" max="3337" width="13.140625" style="18" customWidth="1"/>
    <col min="3338" max="3338" width="22.42578125" style="18" customWidth="1"/>
    <col min="3339" max="3339" width="18.42578125" style="18" customWidth="1"/>
    <col min="3340" max="3340" width="22" style="18" customWidth="1"/>
    <col min="3341" max="3341" width="21.28515625" style="18" customWidth="1"/>
    <col min="3342" max="3342" width="23" style="18" customWidth="1"/>
    <col min="3343" max="3585" width="9.140625" style="18"/>
    <col min="3586" max="3586" width="6.85546875" style="18" customWidth="1"/>
    <col min="3587" max="3587" width="7" style="18" customWidth="1"/>
    <col min="3588" max="3588" width="17.85546875" style="18" bestFit="1" customWidth="1"/>
    <col min="3589" max="3589" width="12.85546875" style="18" customWidth="1"/>
    <col min="3590" max="3590" width="24" style="18" customWidth="1"/>
    <col min="3591" max="3591" width="13.42578125" style="18" bestFit="1" customWidth="1"/>
    <col min="3592" max="3592" width="13.85546875" style="18" customWidth="1"/>
    <col min="3593" max="3593" width="13.140625" style="18" customWidth="1"/>
    <col min="3594" max="3594" width="22.42578125" style="18" customWidth="1"/>
    <col min="3595" max="3595" width="18.42578125" style="18" customWidth="1"/>
    <col min="3596" max="3596" width="22" style="18" customWidth="1"/>
    <col min="3597" max="3597" width="21.28515625" style="18" customWidth="1"/>
    <col min="3598" max="3598" width="23" style="18" customWidth="1"/>
    <col min="3599" max="3841" width="9.140625" style="18"/>
    <col min="3842" max="3842" width="6.85546875" style="18" customWidth="1"/>
    <col min="3843" max="3843" width="7" style="18" customWidth="1"/>
    <col min="3844" max="3844" width="17.85546875" style="18" bestFit="1" customWidth="1"/>
    <col min="3845" max="3845" width="12.85546875" style="18" customWidth="1"/>
    <col min="3846" max="3846" width="24" style="18" customWidth="1"/>
    <col min="3847" max="3847" width="13.42578125" style="18" bestFit="1" customWidth="1"/>
    <col min="3848" max="3848" width="13.85546875" style="18" customWidth="1"/>
    <col min="3849" max="3849" width="13.140625" style="18" customWidth="1"/>
    <col min="3850" max="3850" width="22.42578125" style="18" customWidth="1"/>
    <col min="3851" max="3851" width="18.42578125" style="18" customWidth="1"/>
    <col min="3852" max="3852" width="22" style="18" customWidth="1"/>
    <col min="3853" max="3853" width="21.28515625" style="18" customWidth="1"/>
    <col min="3854" max="3854" width="23" style="18" customWidth="1"/>
    <col min="3855" max="4097" width="9.140625" style="18"/>
    <col min="4098" max="4098" width="6.85546875" style="18" customWidth="1"/>
    <col min="4099" max="4099" width="7" style="18" customWidth="1"/>
    <col min="4100" max="4100" width="17.85546875" style="18" bestFit="1" customWidth="1"/>
    <col min="4101" max="4101" width="12.85546875" style="18" customWidth="1"/>
    <col min="4102" max="4102" width="24" style="18" customWidth="1"/>
    <col min="4103" max="4103" width="13.42578125" style="18" bestFit="1" customWidth="1"/>
    <col min="4104" max="4104" width="13.85546875" style="18" customWidth="1"/>
    <col min="4105" max="4105" width="13.140625" style="18" customWidth="1"/>
    <col min="4106" max="4106" width="22.42578125" style="18" customWidth="1"/>
    <col min="4107" max="4107" width="18.42578125" style="18" customWidth="1"/>
    <col min="4108" max="4108" width="22" style="18" customWidth="1"/>
    <col min="4109" max="4109" width="21.28515625" style="18" customWidth="1"/>
    <col min="4110" max="4110" width="23" style="18" customWidth="1"/>
    <col min="4111" max="4353" width="9.140625" style="18"/>
    <col min="4354" max="4354" width="6.85546875" style="18" customWidth="1"/>
    <col min="4355" max="4355" width="7" style="18" customWidth="1"/>
    <col min="4356" max="4356" width="17.85546875" style="18" bestFit="1" customWidth="1"/>
    <col min="4357" max="4357" width="12.85546875" style="18" customWidth="1"/>
    <col min="4358" max="4358" width="24" style="18" customWidth="1"/>
    <col min="4359" max="4359" width="13.42578125" style="18" bestFit="1" customWidth="1"/>
    <col min="4360" max="4360" width="13.85546875" style="18" customWidth="1"/>
    <col min="4361" max="4361" width="13.140625" style="18" customWidth="1"/>
    <col min="4362" max="4362" width="22.42578125" style="18" customWidth="1"/>
    <col min="4363" max="4363" width="18.42578125" style="18" customWidth="1"/>
    <col min="4364" max="4364" width="22" style="18" customWidth="1"/>
    <col min="4365" max="4365" width="21.28515625" style="18" customWidth="1"/>
    <col min="4366" max="4366" width="23" style="18" customWidth="1"/>
    <col min="4367" max="4609" width="9.140625" style="18"/>
    <col min="4610" max="4610" width="6.85546875" style="18" customWidth="1"/>
    <col min="4611" max="4611" width="7" style="18" customWidth="1"/>
    <col min="4612" max="4612" width="17.85546875" style="18" bestFit="1" customWidth="1"/>
    <col min="4613" max="4613" width="12.85546875" style="18" customWidth="1"/>
    <col min="4614" max="4614" width="24" style="18" customWidth="1"/>
    <col min="4615" max="4615" width="13.42578125" style="18" bestFit="1" customWidth="1"/>
    <col min="4616" max="4616" width="13.85546875" style="18" customWidth="1"/>
    <col min="4617" max="4617" width="13.140625" style="18" customWidth="1"/>
    <col min="4618" max="4618" width="22.42578125" style="18" customWidth="1"/>
    <col min="4619" max="4619" width="18.42578125" style="18" customWidth="1"/>
    <col min="4620" max="4620" width="22" style="18" customWidth="1"/>
    <col min="4621" max="4621" width="21.28515625" style="18" customWidth="1"/>
    <col min="4622" max="4622" width="23" style="18" customWidth="1"/>
    <col min="4623" max="4865" width="9.140625" style="18"/>
    <col min="4866" max="4866" width="6.85546875" style="18" customWidth="1"/>
    <col min="4867" max="4867" width="7" style="18" customWidth="1"/>
    <col min="4868" max="4868" width="17.85546875" style="18" bestFit="1" customWidth="1"/>
    <col min="4869" max="4869" width="12.85546875" style="18" customWidth="1"/>
    <col min="4870" max="4870" width="24" style="18" customWidth="1"/>
    <col min="4871" max="4871" width="13.42578125" style="18" bestFit="1" customWidth="1"/>
    <col min="4872" max="4872" width="13.85546875" style="18" customWidth="1"/>
    <col min="4873" max="4873" width="13.140625" style="18" customWidth="1"/>
    <col min="4874" max="4874" width="22.42578125" style="18" customWidth="1"/>
    <col min="4875" max="4875" width="18.42578125" style="18" customWidth="1"/>
    <col min="4876" max="4876" width="22" style="18" customWidth="1"/>
    <col min="4877" max="4877" width="21.28515625" style="18" customWidth="1"/>
    <col min="4878" max="4878" width="23" style="18" customWidth="1"/>
    <col min="4879" max="5121" width="9.140625" style="18"/>
    <col min="5122" max="5122" width="6.85546875" style="18" customWidth="1"/>
    <col min="5123" max="5123" width="7" style="18" customWidth="1"/>
    <col min="5124" max="5124" width="17.85546875" style="18" bestFit="1" customWidth="1"/>
    <col min="5125" max="5125" width="12.85546875" style="18" customWidth="1"/>
    <col min="5126" max="5126" width="24" style="18" customWidth="1"/>
    <col min="5127" max="5127" width="13.42578125" style="18" bestFit="1" customWidth="1"/>
    <col min="5128" max="5128" width="13.85546875" style="18" customWidth="1"/>
    <col min="5129" max="5129" width="13.140625" style="18" customWidth="1"/>
    <col min="5130" max="5130" width="22.42578125" style="18" customWidth="1"/>
    <col min="5131" max="5131" width="18.42578125" style="18" customWidth="1"/>
    <col min="5132" max="5132" width="22" style="18" customWidth="1"/>
    <col min="5133" max="5133" width="21.28515625" style="18" customWidth="1"/>
    <col min="5134" max="5134" width="23" style="18" customWidth="1"/>
    <col min="5135" max="5377" width="9.140625" style="18"/>
    <col min="5378" max="5378" width="6.85546875" style="18" customWidth="1"/>
    <col min="5379" max="5379" width="7" style="18" customWidth="1"/>
    <col min="5380" max="5380" width="17.85546875" style="18" bestFit="1" customWidth="1"/>
    <col min="5381" max="5381" width="12.85546875" style="18" customWidth="1"/>
    <col min="5382" max="5382" width="24" style="18" customWidth="1"/>
    <col min="5383" max="5383" width="13.42578125" style="18" bestFit="1" customWidth="1"/>
    <col min="5384" max="5384" width="13.85546875" style="18" customWidth="1"/>
    <col min="5385" max="5385" width="13.140625" style="18" customWidth="1"/>
    <col min="5386" max="5386" width="22.42578125" style="18" customWidth="1"/>
    <col min="5387" max="5387" width="18.42578125" style="18" customWidth="1"/>
    <col min="5388" max="5388" width="22" style="18" customWidth="1"/>
    <col min="5389" max="5389" width="21.28515625" style="18" customWidth="1"/>
    <col min="5390" max="5390" width="23" style="18" customWidth="1"/>
    <col min="5391" max="5633" width="9.140625" style="18"/>
    <col min="5634" max="5634" width="6.85546875" style="18" customWidth="1"/>
    <col min="5635" max="5635" width="7" style="18" customWidth="1"/>
    <col min="5636" max="5636" width="17.85546875" style="18" bestFit="1" customWidth="1"/>
    <col min="5637" max="5637" width="12.85546875" style="18" customWidth="1"/>
    <col min="5638" max="5638" width="24" style="18" customWidth="1"/>
    <col min="5639" max="5639" width="13.42578125" style="18" bestFit="1" customWidth="1"/>
    <col min="5640" max="5640" width="13.85546875" style="18" customWidth="1"/>
    <col min="5641" max="5641" width="13.140625" style="18" customWidth="1"/>
    <col min="5642" max="5642" width="22.42578125" style="18" customWidth="1"/>
    <col min="5643" max="5643" width="18.42578125" style="18" customWidth="1"/>
    <col min="5644" max="5644" width="22" style="18" customWidth="1"/>
    <col min="5645" max="5645" width="21.28515625" style="18" customWidth="1"/>
    <col min="5646" max="5646" width="23" style="18" customWidth="1"/>
    <col min="5647" max="5889" width="9.140625" style="18"/>
    <col min="5890" max="5890" width="6.85546875" style="18" customWidth="1"/>
    <col min="5891" max="5891" width="7" style="18" customWidth="1"/>
    <col min="5892" max="5892" width="17.85546875" style="18" bestFit="1" customWidth="1"/>
    <col min="5893" max="5893" width="12.85546875" style="18" customWidth="1"/>
    <col min="5894" max="5894" width="24" style="18" customWidth="1"/>
    <col min="5895" max="5895" width="13.42578125" style="18" bestFit="1" customWidth="1"/>
    <col min="5896" max="5896" width="13.85546875" style="18" customWidth="1"/>
    <col min="5897" max="5897" width="13.140625" style="18" customWidth="1"/>
    <col min="5898" max="5898" width="22.42578125" style="18" customWidth="1"/>
    <col min="5899" max="5899" width="18.42578125" style="18" customWidth="1"/>
    <col min="5900" max="5900" width="22" style="18" customWidth="1"/>
    <col min="5901" max="5901" width="21.28515625" style="18" customWidth="1"/>
    <col min="5902" max="5902" width="23" style="18" customWidth="1"/>
    <col min="5903" max="6145" width="9.140625" style="18"/>
    <col min="6146" max="6146" width="6.85546875" style="18" customWidth="1"/>
    <col min="6147" max="6147" width="7" style="18" customWidth="1"/>
    <col min="6148" max="6148" width="17.85546875" style="18" bestFit="1" customWidth="1"/>
    <col min="6149" max="6149" width="12.85546875" style="18" customWidth="1"/>
    <col min="6150" max="6150" width="24" style="18" customWidth="1"/>
    <col min="6151" max="6151" width="13.42578125" style="18" bestFit="1" customWidth="1"/>
    <col min="6152" max="6152" width="13.85546875" style="18" customWidth="1"/>
    <col min="6153" max="6153" width="13.140625" style="18" customWidth="1"/>
    <col min="6154" max="6154" width="22.42578125" style="18" customWidth="1"/>
    <col min="6155" max="6155" width="18.42578125" style="18" customWidth="1"/>
    <col min="6156" max="6156" width="22" style="18" customWidth="1"/>
    <col min="6157" max="6157" width="21.28515625" style="18" customWidth="1"/>
    <col min="6158" max="6158" width="23" style="18" customWidth="1"/>
    <col min="6159" max="6401" width="9.140625" style="18"/>
    <col min="6402" max="6402" width="6.85546875" style="18" customWidth="1"/>
    <col min="6403" max="6403" width="7" style="18" customWidth="1"/>
    <col min="6404" max="6404" width="17.85546875" style="18" bestFit="1" customWidth="1"/>
    <col min="6405" max="6405" width="12.85546875" style="18" customWidth="1"/>
    <col min="6406" max="6406" width="24" style="18" customWidth="1"/>
    <col min="6407" max="6407" width="13.42578125" style="18" bestFit="1" customWidth="1"/>
    <col min="6408" max="6408" width="13.85546875" style="18" customWidth="1"/>
    <col min="6409" max="6409" width="13.140625" style="18" customWidth="1"/>
    <col min="6410" max="6410" width="22.42578125" style="18" customWidth="1"/>
    <col min="6411" max="6411" width="18.42578125" style="18" customWidth="1"/>
    <col min="6412" max="6412" width="22" style="18" customWidth="1"/>
    <col min="6413" max="6413" width="21.28515625" style="18" customWidth="1"/>
    <col min="6414" max="6414" width="23" style="18" customWidth="1"/>
    <col min="6415" max="6657" width="9.140625" style="18"/>
    <col min="6658" max="6658" width="6.85546875" style="18" customWidth="1"/>
    <col min="6659" max="6659" width="7" style="18" customWidth="1"/>
    <col min="6660" max="6660" width="17.85546875" style="18" bestFit="1" customWidth="1"/>
    <col min="6661" max="6661" width="12.85546875" style="18" customWidth="1"/>
    <col min="6662" max="6662" width="24" style="18" customWidth="1"/>
    <col min="6663" max="6663" width="13.42578125" style="18" bestFit="1" customWidth="1"/>
    <col min="6664" max="6664" width="13.85546875" style="18" customWidth="1"/>
    <col min="6665" max="6665" width="13.140625" style="18" customWidth="1"/>
    <col min="6666" max="6666" width="22.42578125" style="18" customWidth="1"/>
    <col min="6667" max="6667" width="18.42578125" style="18" customWidth="1"/>
    <col min="6668" max="6668" width="22" style="18" customWidth="1"/>
    <col min="6669" max="6669" width="21.28515625" style="18" customWidth="1"/>
    <col min="6670" max="6670" width="23" style="18" customWidth="1"/>
    <col min="6671" max="6913" width="9.140625" style="18"/>
    <col min="6914" max="6914" width="6.85546875" style="18" customWidth="1"/>
    <col min="6915" max="6915" width="7" style="18" customWidth="1"/>
    <col min="6916" max="6916" width="17.85546875" style="18" bestFit="1" customWidth="1"/>
    <col min="6917" max="6917" width="12.85546875" style="18" customWidth="1"/>
    <col min="6918" max="6918" width="24" style="18" customWidth="1"/>
    <col min="6919" max="6919" width="13.42578125" style="18" bestFit="1" customWidth="1"/>
    <col min="6920" max="6920" width="13.85546875" style="18" customWidth="1"/>
    <col min="6921" max="6921" width="13.140625" style="18" customWidth="1"/>
    <col min="6922" max="6922" width="22.42578125" style="18" customWidth="1"/>
    <col min="6923" max="6923" width="18.42578125" style="18" customWidth="1"/>
    <col min="6924" max="6924" width="22" style="18" customWidth="1"/>
    <col min="6925" max="6925" width="21.28515625" style="18" customWidth="1"/>
    <col min="6926" max="6926" width="23" style="18" customWidth="1"/>
    <col min="6927" max="7169" width="9.140625" style="18"/>
    <col min="7170" max="7170" width="6.85546875" style="18" customWidth="1"/>
    <col min="7171" max="7171" width="7" style="18" customWidth="1"/>
    <col min="7172" max="7172" width="17.85546875" style="18" bestFit="1" customWidth="1"/>
    <col min="7173" max="7173" width="12.85546875" style="18" customWidth="1"/>
    <col min="7174" max="7174" width="24" style="18" customWidth="1"/>
    <col min="7175" max="7175" width="13.42578125" style="18" bestFit="1" customWidth="1"/>
    <col min="7176" max="7176" width="13.85546875" style="18" customWidth="1"/>
    <col min="7177" max="7177" width="13.140625" style="18" customWidth="1"/>
    <col min="7178" max="7178" width="22.42578125" style="18" customWidth="1"/>
    <col min="7179" max="7179" width="18.42578125" style="18" customWidth="1"/>
    <col min="7180" max="7180" width="22" style="18" customWidth="1"/>
    <col min="7181" max="7181" width="21.28515625" style="18" customWidth="1"/>
    <col min="7182" max="7182" width="23" style="18" customWidth="1"/>
    <col min="7183" max="7425" width="9.140625" style="18"/>
    <col min="7426" max="7426" width="6.85546875" style="18" customWidth="1"/>
    <col min="7427" max="7427" width="7" style="18" customWidth="1"/>
    <col min="7428" max="7428" width="17.85546875" style="18" bestFit="1" customWidth="1"/>
    <col min="7429" max="7429" width="12.85546875" style="18" customWidth="1"/>
    <col min="7430" max="7430" width="24" style="18" customWidth="1"/>
    <col min="7431" max="7431" width="13.42578125" style="18" bestFit="1" customWidth="1"/>
    <col min="7432" max="7432" width="13.85546875" style="18" customWidth="1"/>
    <col min="7433" max="7433" width="13.140625" style="18" customWidth="1"/>
    <col min="7434" max="7434" width="22.42578125" style="18" customWidth="1"/>
    <col min="7435" max="7435" width="18.42578125" style="18" customWidth="1"/>
    <col min="7436" max="7436" width="22" style="18" customWidth="1"/>
    <col min="7437" max="7437" width="21.28515625" style="18" customWidth="1"/>
    <col min="7438" max="7438" width="23" style="18" customWidth="1"/>
    <col min="7439" max="7681" width="9.140625" style="18"/>
    <col min="7682" max="7682" width="6.85546875" style="18" customWidth="1"/>
    <col min="7683" max="7683" width="7" style="18" customWidth="1"/>
    <col min="7684" max="7684" width="17.85546875" style="18" bestFit="1" customWidth="1"/>
    <col min="7685" max="7685" width="12.85546875" style="18" customWidth="1"/>
    <col min="7686" max="7686" width="24" style="18" customWidth="1"/>
    <col min="7687" max="7687" width="13.42578125" style="18" bestFit="1" customWidth="1"/>
    <col min="7688" max="7688" width="13.85546875" style="18" customWidth="1"/>
    <col min="7689" max="7689" width="13.140625" style="18" customWidth="1"/>
    <col min="7690" max="7690" width="22.42578125" style="18" customWidth="1"/>
    <col min="7691" max="7691" width="18.42578125" style="18" customWidth="1"/>
    <col min="7692" max="7692" width="22" style="18" customWidth="1"/>
    <col min="7693" max="7693" width="21.28515625" style="18" customWidth="1"/>
    <col min="7694" max="7694" width="23" style="18" customWidth="1"/>
    <col min="7695" max="7937" width="9.140625" style="18"/>
    <col min="7938" max="7938" width="6.85546875" style="18" customWidth="1"/>
    <col min="7939" max="7939" width="7" style="18" customWidth="1"/>
    <col min="7940" max="7940" width="17.85546875" style="18" bestFit="1" customWidth="1"/>
    <col min="7941" max="7941" width="12.85546875" style="18" customWidth="1"/>
    <col min="7942" max="7942" width="24" style="18" customWidth="1"/>
    <col min="7943" max="7943" width="13.42578125" style="18" bestFit="1" customWidth="1"/>
    <col min="7944" max="7944" width="13.85546875" style="18" customWidth="1"/>
    <col min="7945" max="7945" width="13.140625" style="18" customWidth="1"/>
    <col min="7946" max="7946" width="22.42578125" style="18" customWidth="1"/>
    <col min="7947" max="7947" width="18.42578125" style="18" customWidth="1"/>
    <col min="7948" max="7948" width="22" style="18" customWidth="1"/>
    <col min="7949" max="7949" width="21.28515625" style="18" customWidth="1"/>
    <col min="7950" max="7950" width="23" style="18" customWidth="1"/>
    <col min="7951" max="8193" width="9.140625" style="18"/>
    <col min="8194" max="8194" width="6.85546875" style="18" customWidth="1"/>
    <col min="8195" max="8195" width="7" style="18" customWidth="1"/>
    <col min="8196" max="8196" width="17.85546875" style="18" bestFit="1" customWidth="1"/>
    <col min="8197" max="8197" width="12.85546875" style="18" customWidth="1"/>
    <col min="8198" max="8198" width="24" style="18" customWidth="1"/>
    <col min="8199" max="8199" width="13.42578125" style="18" bestFit="1" customWidth="1"/>
    <col min="8200" max="8200" width="13.85546875" style="18" customWidth="1"/>
    <col min="8201" max="8201" width="13.140625" style="18" customWidth="1"/>
    <col min="8202" max="8202" width="22.42578125" style="18" customWidth="1"/>
    <col min="8203" max="8203" width="18.42578125" style="18" customWidth="1"/>
    <col min="8204" max="8204" width="22" style="18" customWidth="1"/>
    <col min="8205" max="8205" width="21.28515625" style="18" customWidth="1"/>
    <col min="8206" max="8206" width="23" style="18" customWidth="1"/>
    <col min="8207" max="8449" width="9.140625" style="18"/>
    <col min="8450" max="8450" width="6.85546875" style="18" customWidth="1"/>
    <col min="8451" max="8451" width="7" style="18" customWidth="1"/>
    <col min="8452" max="8452" width="17.85546875" style="18" bestFit="1" customWidth="1"/>
    <col min="8453" max="8453" width="12.85546875" style="18" customWidth="1"/>
    <col min="8454" max="8454" width="24" style="18" customWidth="1"/>
    <col min="8455" max="8455" width="13.42578125" style="18" bestFit="1" customWidth="1"/>
    <col min="8456" max="8456" width="13.85546875" style="18" customWidth="1"/>
    <col min="8457" max="8457" width="13.140625" style="18" customWidth="1"/>
    <col min="8458" max="8458" width="22.42578125" style="18" customWidth="1"/>
    <col min="8459" max="8459" width="18.42578125" style="18" customWidth="1"/>
    <col min="8460" max="8460" width="22" style="18" customWidth="1"/>
    <col min="8461" max="8461" width="21.28515625" style="18" customWidth="1"/>
    <col min="8462" max="8462" width="23" style="18" customWidth="1"/>
    <col min="8463" max="8705" width="9.140625" style="18"/>
    <col min="8706" max="8706" width="6.85546875" style="18" customWidth="1"/>
    <col min="8707" max="8707" width="7" style="18" customWidth="1"/>
    <col min="8708" max="8708" width="17.85546875" style="18" bestFit="1" customWidth="1"/>
    <col min="8709" max="8709" width="12.85546875" style="18" customWidth="1"/>
    <col min="8710" max="8710" width="24" style="18" customWidth="1"/>
    <col min="8711" max="8711" width="13.42578125" style="18" bestFit="1" customWidth="1"/>
    <col min="8712" max="8712" width="13.85546875" style="18" customWidth="1"/>
    <col min="8713" max="8713" width="13.140625" style="18" customWidth="1"/>
    <col min="8714" max="8714" width="22.42578125" style="18" customWidth="1"/>
    <col min="8715" max="8715" width="18.42578125" style="18" customWidth="1"/>
    <col min="8716" max="8716" width="22" style="18" customWidth="1"/>
    <col min="8717" max="8717" width="21.28515625" style="18" customWidth="1"/>
    <col min="8718" max="8718" width="23" style="18" customWidth="1"/>
    <col min="8719" max="8961" width="9.140625" style="18"/>
    <col min="8962" max="8962" width="6.85546875" style="18" customWidth="1"/>
    <col min="8963" max="8963" width="7" style="18" customWidth="1"/>
    <col min="8964" max="8964" width="17.85546875" style="18" bestFit="1" customWidth="1"/>
    <col min="8965" max="8965" width="12.85546875" style="18" customWidth="1"/>
    <col min="8966" max="8966" width="24" style="18" customWidth="1"/>
    <col min="8967" max="8967" width="13.42578125" style="18" bestFit="1" customWidth="1"/>
    <col min="8968" max="8968" width="13.85546875" style="18" customWidth="1"/>
    <col min="8969" max="8969" width="13.140625" style="18" customWidth="1"/>
    <col min="8970" max="8970" width="22.42578125" style="18" customWidth="1"/>
    <col min="8971" max="8971" width="18.42578125" style="18" customWidth="1"/>
    <col min="8972" max="8972" width="22" style="18" customWidth="1"/>
    <col min="8973" max="8973" width="21.28515625" style="18" customWidth="1"/>
    <col min="8974" max="8974" width="23" style="18" customWidth="1"/>
    <col min="8975" max="9217" width="9.140625" style="18"/>
    <col min="9218" max="9218" width="6.85546875" style="18" customWidth="1"/>
    <col min="9219" max="9219" width="7" style="18" customWidth="1"/>
    <col min="9220" max="9220" width="17.85546875" style="18" bestFit="1" customWidth="1"/>
    <col min="9221" max="9221" width="12.85546875" style="18" customWidth="1"/>
    <col min="9222" max="9222" width="24" style="18" customWidth="1"/>
    <col min="9223" max="9223" width="13.42578125" style="18" bestFit="1" customWidth="1"/>
    <col min="9224" max="9224" width="13.85546875" style="18" customWidth="1"/>
    <col min="9225" max="9225" width="13.140625" style="18" customWidth="1"/>
    <col min="9226" max="9226" width="22.42578125" style="18" customWidth="1"/>
    <col min="9227" max="9227" width="18.42578125" style="18" customWidth="1"/>
    <col min="9228" max="9228" width="22" style="18" customWidth="1"/>
    <col min="9229" max="9229" width="21.28515625" style="18" customWidth="1"/>
    <col min="9230" max="9230" width="23" style="18" customWidth="1"/>
    <col min="9231" max="9473" width="9.140625" style="18"/>
    <col min="9474" max="9474" width="6.85546875" style="18" customWidth="1"/>
    <col min="9475" max="9475" width="7" style="18" customWidth="1"/>
    <col min="9476" max="9476" width="17.85546875" style="18" bestFit="1" customWidth="1"/>
    <col min="9477" max="9477" width="12.85546875" style="18" customWidth="1"/>
    <col min="9478" max="9478" width="24" style="18" customWidth="1"/>
    <col min="9479" max="9479" width="13.42578125" style="18" bestFit="1" customWidth="1"/>
    <col min="9480" max="9480" width="13.85546875" style="18" customWidth="1"/>
    <col min="9481" max="9481" width="13.140625" style="18" customWidth="1"/>
    <col min="9482" max="9482" width="22.42578125" style="18" customWidth="1"/>
    <col min="9483" max="9483" width="18.42578125" style="18" customWidth="1"/>
    <col min="9484" max="9484" width="22" style="18" customWidth="1"/>
    <col min="9485" max="9485" width="21.28515625" style="18" customWidth="1"/>
    <col min="9486" max="9486" width="23" style="18" customWidth="1"/>
    <col min="9487" max="9729" width="9.140625" style="18"/>
    <col min="9730" max="9730" width="6.85546875" style="18" customWidth="1"/>
    <col min="9731" max="9731" width="7" style="18" customWidth="1"/>
    <col min="9732" max="9732" width="17.85546875" style="18" bestFit="1" customWidth="1"/>
    <col min="9733" max="9733" width="12.85546875" style="18" customWidth="1"/>
    <col min="9734" max="9734" width="24" style="18" customWidth="1"/>
    <col min="9735" max="9735" width="13.42578125" style="18" bestFit="1" customWidth="1"/>
    <col min="9736" max="9736" width="13.85546875" style="18" customWidth="1"/>
    <col min="9737" max="9737" width="13.140625" style="18" customWidth="1"/>
    <col min="9738" max="9738" width="22.42578125" style="18" customWidth="1"/>
    <col min="9739" max="9739" width="18.42578125" style="18" customWidth="1"/>
    <col min="9740" max="9740" width="22" style="18" customWidth="1"/>
    <col min="9741" max="9741" width="21.28515625" style="18" customWidth="1"/>
    <col min="9742" max="9742" width="23" style="18" customWidth="1"/>
    <col min="9743" max="9985" width="9.140625" style="18"/>
    <col min="9986" max="9986" width="6.85546875" style="18" customWidth="1"/>
    <col min="9987" max="9987" width="7" style="18" customWidth="1"/>
    <col min="9988" max="9988" width="17.85546875" style="18" bestFit="1" customWidth="1"/>
    <col min="9989" max="9989" width="12.85546875" style="18" customWidth="1"/>
    <col min="9990" max="9990" width="24" style="18" customWidth="1"/>
    <col min="9991" max="9991" width="13.42578125" style="18" bestFit="1" customWidth="1"/>
    <col min="9992" max="9992" width="13.85546875" style="18" customWidth="1"/>
    <col min="9993" max="9993" width="13.140625" style="18" customWidth="1"/>
    <col min="9994" max="9994" width="22.42578125" style="18" customWidth="1"/>
    <col min="9995" max="9995" width="18.42578125" style="18" customWidth="1"/>
    <col min="9996" max="9996" width="22" style="18" customWidth="1"/>
    <col min="9997" max="9997" width="21.28515625" style="18" customWidth="1"/>
    <col min="9998" max="9998" width="23" style="18" customWidth="1"/>
    <col min="9999" max="10241" width="9.140625" style="18"/>
    <col min="10242" max="10242" width="6.85546875" style="18" customWidth="1"/>
    <col min="10243" max="10243" width="7" style="18" customWidth="1"/>
    <col min="10244" max="10244" width="17.85546875" style="18" bestFit="1" customWidth="1"/>
    <col min="10245" max="10245" width="12.85546875" style="18" customWidth="1"/>
    <col min="10246" max="10246" width="24" style="18" customWidth="1"/>
    <col min="10247" max="10247" width="13.42578125" style="18" bestFit="1" customWidth="1"/>
    <col min="10248" max="10248" width="13.85546875" style="18" customWidth="1"/>
    <col min="10249" max="10249" width="13.140625" style="18" customWidth="1"/>
    <col min="10250" max="10250" width="22.42578125" style="18" customWidth="1"/>
    <col min="10251" max="10251" width="18.42578125" style="18" customWidth="1"/>
    <col min="10252" max="10252" width="22" style="18" customWidth="1"/>
    <col min="10253" max="10253" width="21.28515625" style="18" customWidth="1"/>
    <col min="10254" max="10254" width="23" style="18" customWidth="1"/>
    <col min="10255" max="10497" width="9.140625" style="18"/>
    <col min="10498" max="10498" width="6.85546875" style="18" customWidth="1"/>
    <col min="10499" max="10499" width="7" style="18" customWidth="1"/>
    <col min="10500" max="10500" width="17.85546875" style="18" bestFit="1" customWidth="1"/>
    <col min="10501" max="10501" width="12.85546875" style="18" customWidth="1"/>
    <col min="10502" max="10502" width="24" style="18" customWidth="1"/>
    <col min="10503" max="10503" width="13.42578125" style="18" bestFit="1" customWidth="1"/>
    <col min="10504" max="10504" width="13.85546875" style="18" customWidth="1"/>
    <col min="10505" max="10505" width="13.140625" style="18" customWidth="1"/>
    <col min="10506" max="10506" width="22.42578125" style="18" customWidth="1"/>
    <col min="10507" max="10507" width="18.42578125" style="18" customWidth="1"/>
    <col min="10508" max="10508" width="22" style="18" customWidth="1"/>
    <col min="10509" max="10509" width="21.28515625" style="18" customWidth="1"/>
    <col min="10510" max="10510" width="23" style="18" customWidth="1"/>
    <col min="10511" max="10753" width="9.140625" style="18"/>
    <col min="10754" max="10754" width="6.85546875" style="18" customWidth="1"/>
    <col min="10755" max="10755" width="7" style="18" customWidth="1"/>
    <col min="10756" max="10756" width="17.85546875" style="18" bestFit="1" customWidth="1"/>
    <col min="10757" max="10757" width="12.85546875" style="18" customWidth="1"/>
    <col min="10758" max="10758" width="24" style="18" customWidth="1"/>
    <col min="10759" max="10759" width="13.42578125" style="18" bestFit="1" customWidth="1"/>
    <col min="10760" max="10760" width="13.85546875" style="18" customWidth="1"/>
    <col min="10761" max="10761" width="13.140625" style="18" customWidth="1"/>
    <col min="10762" max="10762" width="22.42578125" style="18" customWidth="1"/>
    <col min="10763" max="10763" width="18.42578125" style="18" customWidth="1"/>
    <col min="10764" max="10764" width="22" style="18" customWidth="1"/>
    <col min="10765" max="10765" width="21.28515625" style="18" customWidth="1"/>
    <col min="10766" max="10766" width="23" style="18" customWidth="1"/>
    <col min="10767" max="11009" width="9.140625" style="18"/>
    <col min="11010" max="11010" width="6.85546875" style="18" customWidth="1"/>
    <col min="11011" max="11011" width="7" style="18" customWidth="1"/>
    <col min="11012" max="11012" width="17.85546875" style="18" bestFit="1" customWidth="1"/>
    <col min="11013" max="11013" width="12.85546875" style="18" customWidth="1"/>
    <col min="11014" max="11014" width="24" style="18" customWidth="1"/>
    <col min="11015" max="11015" width="13.42578125" style="18" bestFit="1" customWidth="1"/>
    <col min="11016" max="11016" width="13.85546875" style="18" customWidth="1"/>
    <col min="11017" max="11017" width="13.140625" style="18" customWidth="1"/>
    <col min="11018" max="11018" width="22.42578125" style="18" customWidth="1"/>
    <col min="11019" max="11019" width="18.42578125" style="18" customWidth="1"/>
    <col min="11020" max="11020" width="22" style="18" customWidth="1"/>
    <col min="11021" max="11021" width="21.28515625" style="18" customWidth="1"/>
    <col min="11022" max="11022" width="23" style="18" customWidth="1"/>
    <col min="11023" max="11265" width="9.140625" style="18"/>
    <col min="11266" max="11266" width="6.85546875" style="18" customWidth="1"/>
    <col min="11267" max="11267" width="7" style="18" customWidth="1"/>
    <col min="11268" max="11268" width="17.85546875" style="18" bestFit="1" customWidth="1"/>
    <col min="11269" max="11269" width="12.85546875" style="18" customWidth="1"/>
    <col min="11270" max="11270" width="24" style="18" customWidth="1"/>
    <col min="11271" max="11271" width="13.42578125" style="18" bestFit="1" customWidth="1"/>
    <col min="11272" max="11272" width="13.85546875" style="18" customWidth="1"/>
    <col min="11273" max="11273" width="13.140625" style="18" customWidth="1"/>
    <col min="11274" max="11274" width="22.42578125" style="18" customWidth="1"/>
    <col min="11275" max="11275" width="18.42578125" style="18" customWidth="1"/>
    <col min="11276" max="11276" width="22" style="18" customWidth="1"/>
    <col min="11277" max="11277" width="21.28515625" style="18" customWidth="1"/>
    <col min="11278" max="11278" width="23" style="18" customWidth="1"/>
    <col min="11279" max="11521" width="9.140625" style="18"/>
    <col min="11522" max="11522" width="6.85546875" style="18" customWidth="1"/>
    <col min="11523" max="11523" width="7" style="18" customWidth="1"/>
    <col min="11524" max="11524" width="17.85546875" style="18" bestFit="1" customWidth="1"/>
    <col min="11525" max="11525" width="12.85546875" style="18" customWidth="1"/>
    <col min="11526" max="11526" width="24" style="18" customWidth="1"/>
    <col min="11527" max="11527" width="13.42578125" style="18" bestFit="1" customWidth="1"/>
    <col min="11528" max="11528" width="13.85546875" style="18" customWidth="1"/>
    <col min="11529" max="11529" width="13.140625" style="18" customWidth="1"/>
    <col min="11530" max="11530" width="22.42578125" style="18" customWidth="1"/>
    <col min="11531" max="11531" width="18.42578125" style="18" customWidth="1"/>
    <col min="11532" max="11532" width="22" style="18" customWidth="1"/>
    <col min="11533" max="11533" width="21.28515625" style="18" customWidth="1"/>
    <col min="11534" max="11534" width="23" style="18" customWidth="1"/>
    <col min="11535" max="11777" width="9.140625" style="18"/>
    <col min="11778" max="11778" width="6.85546875" style="18" customWidth="1"/>
    <col min="11779" max="11779" width="7" style="18" customWidth="1"/>
    <col min="11780" max="11780" width="17.85546875" style="18" bestFit="1" customWidth="1"/>
    <col min="11781" max="11781" width="12.85546875" style="18" customWidth="1"/>
    <col min="11782" max="11782" width="24" style="18" customWidth="1"/>
    <col min="11783" max="11783" width="13.42578125" style="18" bestFit="1" customWidth="1"/>
    <col min="11784" max="11784" width="13.85546875" style="18" customWidth="1"/>
    <col min="11785" max="11785" width="13.140625" style="18" customWidth="1"/>
    <col min="11786" max="11786" width="22.42578125" style="18" customWidth="1"/>
    <col min="11787" max="11787" width="18.42578125" style="18" customWidth="1"/>
    <col min="11788" max="11788" width="22" style="18" customWidth="1"/>
    <col min="11789" max="11789" width="21.28515625" style="18" customWidth="1"/>
    <col min="11790" max="11790" width="23" style="18" customWidth="1"/>
    <col min="11791" max="12033" width="9.140625" style="18"/>
    <col min="12034" max="12034" width="6.85546875" style="18" customWidth="1"/>
    <col min="12035" max="12035" width="7" style="18" customWidth="1"/>
    <col min="12036" max="12036" width="17.85546875" style="18" bestFit="1" customWidth="1"/>
    <col min="12037" max="12037" width="12.85546875" style="18" customWidth="1"/>
    <col min="12038" max="12038" width="24" style="18" customWidth="1"/>
    <col min="12039" max="12039" width="13.42578125" style="18" bestFit="1" customWidth="1"/>
    <col min="12040" max="12040" width="13.85546875" style="18" customWidth="1"/>
    <col min="12041" max="12041" width="13.140625" style="18" customWidth="1"/>
    <col min="12042" max="12042" width="22.42578125" style="18" customWidth="1"/>
    <col min="12043" max="12043" width="18.42578125" style="18" customWidth="1"/>
    <col min="12044" max="12044" width="22" style="18" customWidth="1"/>
    <col min="12045" max="12045" width="21.28515625" style="18" customWidth="1"/>
    <col min="12046" max="12046" width="23" style="18" customWidth="1"/>
    <col min="12047" max="12289" width="9.140625" style="18"/>
    <col min="12290" max="12290" width="6.85546875" style="18" customWidth="1"/>
    <col min="12291" max="12291" width="7" style="18" customWidth="1"/>
    <col min="12292" max="12292" width="17.85546875" style="18" bestFit="1" customWidth="1"/>
    <col min="12293" max="12293" width="12.85546875" style="18" customWidth="1"/>
    <col min="12294" max="12294" width="24" style="18" customWidth="1"/>
    <col min="12295" max="12295" width="13.42578125" style="18" bestFit="1" customWidth="1"/>
    <col min="12296" max="12296" width="13.85546875" style="18" customWidth="1"/>
    <col min="12297" max="12297" width="13.140625" style="18" customWidth="1"/>
    <col min="12298" max="12298" width="22.42578125" style="18" customWidth="1"/>
    <col min="12299" max="12299" width="18.42578125" style="18" customWidth="1"/>
    <col min="12300" max="12300" width="22" style="18" customWidth="1"/>
    <col min="12301" max="12301" width="21.28515625" style="18" customWidth="1"/>
    <col min="12302" max="12302" width="23" style="18" customWidth="1"/>
    <col min="12303" max="12545" width="9.140625" style="18"/>
    <col min="12546" max="12546" width="6.85546875" style="18" customWidth="1"/>
    <col min="12547" max="12547" width="7" style="18" customWidth="1"/>
    <col min="12548" max="12548" width="17.85546875" style="18" bestFit="1" customWidth="1"/>
    <col min="12549" max="12549" width="12.85546875" style="18" customWidth="1"/>
    <col min="12550" max="12550" width="24" style="18" customWidth="1"/>
    <col min="12551" max="12551" width="13.42578125" style="18" bestFit="1" customWidth="1"/>
    <col min="12552" max="12552" width="13.85546875" style="18" customWidth="1"/>
    <col min="12553" max="12553" width="13.140625" style="18" customWidth="1"/>
    <col min="12554" max="12554" width="22.42578125" style="18" customWidth="1"/>
    <col min="12555" max="12555" width="18.42578125" style="18" customWidth="1"/>
    <col min="12556" max="12556" width="22" style="18" customWidth="1"/>
    <col min="12557" max="12557" width="21.28515625" style="18" customWidth="1"/>
    <col min="12558" max="12558" width="23" style="18" customWidth="1"/>
    <col min="12559" max="12801" width="9.140625" style="18"/>
    <col min="12802" max="12802" width="6.85546875" style="18" customWidth="1"/>
    <col min="12803" max="12803" width="7" style="18" customWidth="1"/>
    <col min="12804" max="12804" width="17.85546875" style="18" bestFit="1" customWidth="1"/>
    <col min="12805" max="12805" width="12.85546875" style="18" customWidth="1"/>
    <col min="12806" max="12806" width="24" style="18" customWidth="1"/>
    <col min="12807" max="12807" width="13.42578125" style="18" bestFit="1" customWidth="1"/>
    <col min="12808" max="12808" width="13.85546875" style="18" customWidth="1"/>
    <col min="12809" max="12809" width="13.140625" style="18" customWidth="1"/>
    <col min="12810" max="12810" width="22.42578125" style="18" customWidth="1"/>
    <col min="12811" max="12811" width="18.42578125" style="18" customWidth="1"/>
    <col min="12812" max="12812" width="22" style="18" customWidth="1"/>
    <col min="12813" max="12813" width="21.28515625" style="18" customWidth="1"/>
    <col min="12814" max="12814" width="23" style="18" customWidth="1"/>
    <col min="12815" max="13057" width="9.140625" style="18"/>
    <col min="13058" max="13058" width="6.85546875" style="18" customWidth="1"/>
    <col min="13059" max="13059" width="7" style="18" customWidth="1"/>
    <col min="13060" max="13060" width="17.85546875" style="18" bestFit="1" customWidth="1"/>
    <col min="13061" max="13061" width="12.85546875" style="18" customWidth="1"/>
    <col min="13062" max="13062" width="24" style="18" customWidth="1"/>
    <col min="13063" max="13063" width="13.42578125" style="18" bestFit="1" customWidth="1"/>
    <col min="13064" max="13064" width="13.85546875" style="18" customWidth="1"/>
    <col min="13065" max="13065" width="13.140625" style="18" customWidth="1"/>
    <col min="13066" max="13066" width="22.42578125" style="18" customWidth="1"/>
    <col min="13067" max="13067" width="18.42578125" style="18" customWidth="1"/>
    <col min="13068" max="13068" width="22" style="18" customWidth="1"/>
    <col min="13069" max="13069" width="21.28515625" style="18" customWidth="1"/>
    <col min="13070" max="13070" width="23" style="18" customWidth="1"/>
    <col min="13071" max="13313" width="9.140625" style="18"/>
    <col min="13314" max="13314" width="6.85546875" style="18" customWidth="1"/>
    <col min="13315" max="13315" width="7" style="18" customWidth="1"/>
    <col min="13316" max="13316" width="17.85546875" style="18" bestFit="1" customWidth="1"/>
    <col min="13317" max="13317" width="12.85546875" style="18" customWidth="1"/>
    <col min="13318" max="13318" width="24" style="18" customWidth="1"/>
    <col min="13319" max="13319" width="13.42578125" style="18" bestFit="1" customWidth="1"/>
    <col min="13320" max="13320" width="13.85546875" style="18" customWidth="1"/>
    <col min="13321" max="13321" width="13.140625" style="18" customWidth="1"/>
    <col min="13322" max="13322" width="22.42578125" style="18" customWidth="1"/>
    <col min="13323" max="13323" width="18.42578125" style="18" customWidth="1"/>
    <col min="13324" max="13324" width="22" style="18" customWidth="1"/>
    <col min="13325" max="13325" width="21.28515625" style="18" customWidth="1"/>
    <col min="13326" max="13326" width="23" style="18" customWidth="1"/>
    <col min="13327" max="13569" width="9.140625" style="18"/>
    <col min="13570" max="13570" width="6.85546875" style="18" customWidth="1"/>
    <col min="13571" max="13571" width="7" style="18" customWidth="1"/>
    <col min="13572" max="13572" width="17.85546875" style="18" bestFit="1" customWidth="1"/>
    <col min="13573" max="13573" width="12.85546875" style="18" customWidth="1"/>
    <col min="13574" max="13574" width="24" style="18" customWidth="1"/>
    <col min="13575" max="13575" width="13.42578125" style="18" bestFit="1" customWidth="1"/>
    <col min="13576" max="13576" width="13.85546875" style="18" customWidth="1"/>
    <col min="13577" max="13577" width="13.140625" style="18" customWidth="1"/>
    <col min="13578" max="13578" width="22.42578125" style="18" customWidth="1"/>
    <col min="13579" max="13579" width="18.42578125" style="18" customWidth="1"/>
    <col min="13580" max="13580" width="22" style="18" customWidth="1"/>
    <col min="13581" max="13581" width="21.28515625" style="18" customWidth="1"/>
    <col min="13582" max="13582" width="23" style="18" customWidth="1"/>
    <col min="13583" max="13825" width="9.140625" style="18"/>
    <col min="13826" max="13826" width="6.85546875" style="18" customWidth="1"/>
    <col min="13827" max="13827" width="7" style="18" customWidth="1"/>
    <col min="13828" max="13828" width="17.85546875" style="18" bestFit="1" customWidth="1"/>
    <col min="13829" max="13829" width="12.85546875" style="18" customWidth="1"/>
    <col min="13830" max="13830" width="24" style="18" customWidth="1"/>
    <col min="13831" max="13831" width="13.42578125" style="18" bestFit="1" customWidth="1"/>
    <col min="13832" max="13832" width="13.85546875" style="18" customWidth="1"/>
    <col min="13833" max="13833" width="13.140625" style="18" customWidth="1"/>
    <col min="13834" max="13834" width="22.42578125" style="18" customWidth="1"/>
    <col min="13835" max="13835" width="18.42578125" style="18" customWidth="1"/>
    <col min="13836" max="13836" width="22" style="18" customWidth="1"/>
    <col min="13837" max="13837" width="21.28515625" style="18" customWidth="1"/>
    <col min="13838" max="13838" width="23" style="18" customWidth="1"/>
    <col min="13839" max="14081" width="9.140625" style="18"/>
    <col min="14082" max="14082" width="6.85546875" style="18" customWidth="1"/>
    <col min="14083" max="14083" width="7" style="18" customWidth="1"/>
    <col min="14084" max="14084" width="17.85546875" style="18" bestFit="1" customWidth="1"/>
    <col min="14085" max="14085" width="12.85546875" style="18" customWidth="1"/>
    <col min="14086" max="14086" width="24" style="18" customWidth="1"/>
    <col min="14087" max="14087" width="13.42578125" style="18" bestFit="1" customWidth="1"/>
    <col min="14088" max="14088" width="13.85546875" style="18" customWidth="1"/>
    <col min="14089" max="14089" width="13.140625" style="18" customWidth="1"/>
    <col min="14090" max="14090" width="22.42578125" style="18" customWidth="1"/>
    <col min="14091" max="14091" width="18.42578125" style="18" customWidth="1"/>
    <col min="14092" max="14092" width="22" style="18" customWidth="1"/>
    <col min="14093" max="14093" width="21.28515625" style="18" customWidth="1"/>
    <col min="14094" max="14094" width="23" style="18" customWidth="1"/>
    <col min="14095" max="14337" width="9.140625" style="18"/>
    <col min="14338" max="14338" width="6.85546875" style="18" customWidth="1"/>
    <col min="14339" max="14339" width="7" style="18" customWidth="1"/>
    <col min="14340" max="14340" width="17.85546875" style="18" bestFit="1" customWidth="1"/>
    <col min="14341" max="14341" width="12.85546875" style="18" customWidth="1"/>
    <col min="14342" max="14342" width="24" style="18" customWidth="1"/>
    <col min="14343" max="14343" width="13.42578125" style="18" bestFit="1" customWidth="1"/>
    <col min="14344" max="14344" width="13.85546875" style="18" customWidth="1"/>
    <col min="14345" max="14345" width="13.140625" style="18" customWidth="1"/>
    <col min="14346" max="14346" width="22.42578125" style="18" customWidth="1"/>
    <col min="14347" max="14347" width="18.42578125" style="18" customWidth="1"/>
    <col min="14348" max="14348" width="22" style="18" customWidth="1"/>
    <col min="14349" max="14349" width="21.28515625" style="18" customWidth="1"/>
    <col min="14350" max="14350" width="23" style="18" customWidth="1"/>
    <col min="14351" max="14593" width="9.140625" style="18"/>
    <col min="14594" max="14594" width="6.85546875" style="18" customWidth="1"/>
    <col min="14595" max="14595" width="7" style="18" customWidth="1"/>
    <col min="14596" max="14596" width="17.85546875" style="18" bestFit="1" customWidth="1"/>
    <col min="14597" max="14597" width="12.85546875" style="18" customWidth="1"/>
    <col min="14598" max="14598" width="24" style="18" customWidth="1"/>
    <col min="14599" max="14599" width="13.42578125" style="18" bestFit="1" customWidth="1"/>
    <col min="14600" max="14600" width="13.85546875" style="18" customWidth="1"/>
    <col min="14601" max="14601" width="13.140625" style="18" customWidth="1"/>
    <col min="14602" max="14602" width="22.42578125" style="18" customWidth="1"/>
    <col min="14603" max="14603" width="18.42578125" style="18" customWidth="1"/>
    <col min="14604" max="14604" width="22" style="18" customWidth="1"/>
    <col min="14605" max="14605" width="21.28515625" style="18" customWidth="1"/>
    <col min="14606" max="14606" width="23" style="18" customWidth="1"/>
    <col min="14607" max="14849" width="9.140625" style="18"/>
    <col min="14850" max="14850" width="6.85546875" style="18" customWidth="1"/>
    <col min="14851" max="14851" width="7" style="18" customWidth="1"/>
    <col min="14852" max="14852" width="17.85546875" style="18" bestFit="1" customWidth="1"/>
    <col min="14853" max="14853" width="12.85546875" style="18" customWidth="1"/>
    <col min="14854" max="14854" width="24" style="18" customWidth="1"/>
    <col min="14855" max="14855" width="13.42578125" style="18" bestFit="1" customWidth="1"/>
    <col min="14856" max="14856" width="13.85546875" style="18" customWidth="1"/>
    <col min="14857" max="14857" width="13.140625" style="18" customWidth="1"/>
    <col min="14858" max="14858" width="22.42578125" style="18" customWidth="1"/>
    <col min="14859" max="14859" width="18.42578125" style="18" customWidth="1"/>
    <col min="14860" max="14860" width="22" style="18" customWidth="1"/>
    <col min="14861" max="14861" width="21.28515625" style="18" customWidth="1"/>
    <col min="14862" max="14862" width="23" style="18" customWidth="1"/>
    <col min="14863" max="15105" width="9.140625" style="18"/>
    <col min="15106" max="15106" width="6.85546875" style="18" customWidth="1"/>
    <col min="15107" max="15107" width="7" style="18" customWidth="1"/>
    <col min="15108" max="15108" width="17.85546875" style="18" bestFit="1" customWidth="1"/>
    <col min="15109" max="15109" width="12.85546875" style="18" customWidth="1"/>
    <col min="15110" max="15110" width="24" style="18" customWidth="1"/>
    <col min="15111" max="15111" width="13.42578125" style="18" bestFit="1" customWidth="1"/>
    <col min="15112" max="15112" width="13.85546875" style="18" customWidth="1"/>
    <col min="15113" max="15113" width="13.140625" style="18" customWidth="1"/>
    <col min="15114" max="15114" width="22.42578125" style="18" customWidth="1"/>
    <col min="15115" max="15115" width="18.42578125" style="18" customWidth="1"/>
    <col min="15116" max="15116" width="22" style="18" customWidth="1"/>
    <col min="15117" max="15117" width="21.28515625" style="18" customWidth="1"/>
    <col min="15118" max="15118" width="23" style="18" customWidth="1"/>
    <col min="15119" max="15361" width="9.140625" style="18"/>
    <col min="15362" max="15362" width="6.85546875" style="18" customWidth="1"/>
    <col min="15363" max="15363" width="7" style="18" customWidth="1"/>
    <col min="15364" max="15364" width="17.85546875" style="18" bestFit="1" customWidth="1"/>
    <col min="15365" max="15365" width="12.85546875" style="18" customWidth="1"/>
    <col min="15366" max="15366" width="24" style="18" customWidth="1"/>
    <col min="15367" max="15367" width="13.42578125" style="18" bestFit="1" customWidth="1"/>
    <col min="15368" max="15368" width="13.85546875" style="18" customWidth="1"/>
    <col min="15369" max="15369" width="13.140625" style="18" customWidth="1"/>
    <col min="15370" max="15370" width="22.42578125" style="18" customWidth="1"/>
    <col min="15371" max="15371" width="18.42578125" style="18" customWidth="1"/>
    <col min="15372" max="15372" width="22" style="18" customWidth="1"/>
    <col min="15373" max="15373" width="21.28515625" style="18" customWidth="1"/>
    <col min="15374" max="15374" width="23" style="18" customWidth="1"/>
    <col min="15375" max="15617" width="9.140625" style="18"/>
    <col min="15618" max="15618" width="6.85546875" style="18" customWidth="1"/>
    <col min="15619" max="15619" width="7" style="18" customWidth="1"/>
    <col min="15620" max="15620" width="17.85546875" style="18" bestFit="1" customWidth="1"/>
    <col min="15621" max="15621" width="12.85546875" style="18" customWidth="1"/>
    <col min="15622" max="15622" width="24" style="18" customWidth="1"/>
    <col min="15623" max="15623" width="13.42578125" style="18" bestFit="1" customWidth="1"/>
    <col min="15624" max="15624" width="13.85546875" style="18" customWidth="1"/>
    <col min="15625" max="15625" width="13.140625" style="18" customWidth="1"/>
    <col min="15626" max="15626" width="22.42578125" style="18" customWidth="1"/>
    <col min="15627" max="15627" width="18.42578125" style="18" customWidth="1"/>
    <col min="15628" max="15628" width="22" style="18" customWidth="1"/>
    <col min="15629" max="15629" width="21.28515625" style="18" customWidth="1"/>
    <col min="15630" max="15630" width="23" style="18" customWidth="1"/>
    <col min="15631" max="15873" width="9.140625" style="18"/>
    <col min="15874" max="15874" width="6.85546875" style="18" customWidth="1"/>
    <col min="15875" max="15875" width="7" style="18" customWidth="1"/>
    <col min="15876" max="15876" width="17.85546875" style="18" bestFit="1" customWidth="1"/>
    <col min="15877" max="15877" width="12.85546875" style="18" customWidth="1"/>
    <col min="15878" max="15878" width="24" style="18" customWidth="1"/>
    <col min="15879" max="15879" width="13.42578125" style="18" bestFit="1" customWidth="1"/>
    <col min="15880" max="15880" width="13.85546875" style="18" customWidth="1"/>
    <col min="15881" max="15881" width="13.140625" style="18" customWidth="1"/>
    <col min="15882" max="15882" width="22.42578125" style="18" customWidth="1"/>
    <col min="15883" max="15883" width="18.42578125" style="18" customWidth="1"/>
    <col min="15884" max="15884" width="22" style="18" customWidth="1"/>
    <col min="15885" max="15885" width="21.28515625" style="18" customWidth="1"/>
    <col min="15886" max="15886" width="23" style="18" customWidth="1"/>
    <col min="15887" max="16129" width="9.140625" style="18"/>
    <col min="16130" max="16130" width="6.85546875" style="18" customWidth="1"/>
    <col min="16131" max="16131" width="7" style="18" customWidth="1"/>
    <col min="16132" max="16132" width="17.85546875" style="18" bestFit="1" customWidth="1"/>
    <col min="16133" max="16133" width="12.85546875" style="18" customWidth="1"/>
    <col min="16134" max="16134" width="24" style="18" customWidth="1"/>
    <col min="16135" max="16135" width="13.42578125" style="18" bestFit="1" customWidth="1"/>
    <col min="16136" max="16136" width="13.85546875" style="18" customWidth="1"/>
    <col min="16137" max="16137" width="13.140625" style="18" customWidth="1"/>
    <col min="16138" max="16138" width="22.42578125" style="18" customWidth="1"/>
    <col min="16139" max="16139" width="18.42578125" style="18" customWidth="1"/>
    <col min="16140" max="16140" width="22" style="18" customWidth="1"/>
    <col min="16141" max="16141" width="21.28515625" style="18" customWidth="1"/>
    <col min="16142" max="16142" width="23" style="18" customWidth="1"/>
    <col min="16143" max="16384" width="9.140625" style="18"/>
  </cols>
  <sheetData>
    <row r="3" spans="2:14">
      <c r="B3" s="1397" t="s">
        <v>906</v>
      </c>
      <c r="C3" s="1397"/>
      <c r="D3" s="1347"/>
      <c r="E3" s="1347"/>
      <c r="F3" s="1347"/>
      <c r="G3" s="1347"/>
      <c r="H3" s="1347"/>
      <c r="I3" s="1347"/>
      <c r="J3" s="1347"/>
      <c r="K3" s="1347"/>
      <c r="L3" s="1347"/>
      <c r="M3" s="1347"/>
      <c r="N3" s="1347"/>
    </row>
    <row r="4" spans="2:14">
      <c r="B4" s="1397" t="s">
        <v>722</v>
      </c>
      <c r="C4" s="1397"/>
      <c r="D4" s="1347"/>
      <c r="E4" s="1347"/>
      <c r="F4" s="1347"/>
      <c r="G4" s="1347"/>
      <c r="H4" s="1347"/>
      <c r="I4" s="1347"/>
      <c r="J4" s="1347"/>
      <c r="K4" s="1347"/>
      <c r="L4" s="1347"/>
      <c r="M4" s="1347"/>
      <c r="N4" s="1347"/>
    </row>
    <row r="5" spans="2:14">
      <c r="B5" s="1397" t="s">
        <v>621</v>
      </c>
      <c r="C5" s="1397"/>
      <c r="D5" s="1347"/>
      <c r="E5" s="1347"/>
      <c r="F5" s="1347"/>
      <c r="G5" s="1347"/>
      <c r="H5" s="1347"/>
      <c r="I5" s="1347"/>
      <c r="J5" s="1347"/>
      <c r="K5" s="1347"/>
      <c r="L5" s="1347"/>
      <c r="M5" s="1347"/>
      <c r="N5" s="1347"/>
    </row>
    <row r="6" spans="2:14">
      <c r="B6" s="182"/>
      <c r="C6" s="182"/>
      <c r="D6" s="156"/>
      <c r="E6" s="20"/>
      <c r="F6" s="20"/>
      <c r="G6" s="21"/>
      <c r="H6" s="20"/>
      <c r="I6" s="20"/>
      <c r="J6" s="20"/>
      <c r="K6" s="37"/>
      <c r="L6" s="37"/>
      <c r="M6" s="37"/>
    </row>
    <row r="7" spans="2:14">
      <c r="B7" s="182"/>
      <c r="C7" s="182"/>
      <c r="D7" s="156"/>
      <c r="E7" s="20"/>
      <c r="F7" s="20"/>
      <c r="G7" s="21"/>
      <c r="H7" s="20"/>
      <c r="I7" s="20"/>
      <c r="J7" s="20"/>
      <c r="K7" s="37"/>
      <c r="L7" s="37"/>
      <c r="M7" s="37"/>
    </row>
    <row r="8" spans="2:14">
      <c r="B8" s="46" t="s">
        <v>686</v>
      </c>
      <c r="C8" s="46"/>
      <c r="D8" s="156"/>
      <c r="E8" s="20"/>
      <c r="F8" s="20"/>
      <c r="G8" s="20"/>
      <c r="H8" s="20"/>
      <c r="I8" s="20"/>
      <c r="J8" s="20"/>
      <c r="K8" s="37"/>
      <c r="L8" s="37"/>
      <c r="M8" s="37"/>
    </row>
    <row r="9" spans="2:14">
      <c r="D9" s="21"/>
      <c r="E9" s="21"/>
      <c r="F9" s="60"/>
      <c r="G9" s="60"/>
      <c r="H9" s="60"/>
      <c r="K9" s="39"/>
      <c r="L9" s="39"/>
      <c r="N9" s="195" t="s">
        <v>117</v>
      </c>
    </row>
    <row r="10" spans="2:14" ht="47.45" customHeight="1">
      <c r="B10" s="166" t="s">
        <v>11</v>
      </c>
      <c r="C10" s="275" t="s">
        <v>49</v>
      </c>
      <c r="D10" s="166" t="s">
        <v>271</v>
      </c>
      <c r="E10" s="166" t="s">
        <v>272</v>
      </c>
      <c r="F10" s="166" t="s">
        <v>285</v>
      </c>
      <c r="G10" s="166" t="s">
        <v>273</v>
      </c>
      <c r="H10" s="166" t="s">
        <v>274</v>
      </c>
      <c r="I10" s="166" t="s">
        <v>275</v>
      </c>
      <c r="J10" s="166" t="s">
        <v>276</v>
      </c>
      <c r="K10" s="166" t="s">
        <v>277</v>
      </c>
      <c r="L10" s="166" t="s">
        <v>278</v>
      </c>
      <c r="M10" s="166" t="s">
        <v>279</v>
      </c>
      <c r="N10" s="166" t="s">
        <v>280</v>
      </c>
    </row>
    <row r="11" spans="2:14">
      <c r="B11" s="457" t="s">
        <v>82</v>
      </c>
      <c r="C11" s="1084" t="s">
        <v>579</v>
      </c>
      <c r="D11" s="457" t="s">
        <v>797</v>
      </c>
      <c r="E11" s="548">
        <v>81.80903499999998</v>
      </c>
      <c r="F11" s="548">
        <f>E11-G11</f>
        <v>6.7913621899999725</v>
      </c>
      <c r="G11" s="548">
        <f>'F1.2'!D14</f>
        <v>75.017672810000008</v>
      </c>
      <c r="H11" s="548">
        <f>'F1.2'!D16</f>
        <v>81.87306378000001</v>
      </c>
      <c r="I11" s="548">
        <f>(E11-H11)</f>
        <v>-6.4028780000029428E-2</v>
      </c>
      <c r="J11" s="1233">
        <f>I11/E11</f>
        <v>-7.8266147498292141E-4</v>
      </c>
      <c r="K11" s="548">
        <f>I11</f>
        <v>-6.4028780000029428E-2</v>
      </c>
      <c r="L11" s="1233">
        <f>J11</f>
        <v>-7.8266147498292141E-4</v>
      </c>
      <c r="M11" s="548">
        <v>0</v>
      </c>
      <c r="N11" s="548">
        <v>0</v>
      </c>
    </row>
    <row r="12" spans="2:14">
      <c r="B12" s="457" t="s">
        <v>89</v>
      </c>
      <c r="C12" s="1084" t="s">
        <v>580</v>
      </c>
      <c r="D12" s="457" t="str">
        <f>D11</f>
        <v>22 KV</v>
      </c>
      <c r="E12" s="548">
        <f t="shared" ref="E12:N12" si="0">E11</f>
        <v>81.80903499999998</v>
      </c>
      <c r="F12" s="548">
        <f t="shared" si="0"/>
        <v>6.7913621899999725</v>
      </c>
      <c r="G12" s="548">
        <f t="shared" si="0"/>
        <v>75.017672810000008</v>
      </c>
      <c r="H12" s="548">
        <f t="shared" si="0"/>
        <v>81.87306378000001</v>
      </c>
      <c r="I12" s="548">
        <f t="shared" si="0"/>
        <v>-6.4028780000029428E-2</v>
      </c>
      <c r="J12" s="1233">
        <f t="shared" si="0"/>
        <v>-7.8266147498292141E-4</v>
      </c>
      <c r="K12" s="548">
        <f t="shared" si="0"/>
        <v>-6.4028780000029428E-2</v>
      </c>
      <c r="L12" s="1233">
        <f t="shared" si="0"/>
        <v>-7.8266147498292141E-4</v>
      </c>
      <c r="M12" s="671">
        <f t="shared" si="0"/>
        <v>0</v>
      </c>
      <c r="N12" s="671">
        <f t="shared" si="0"/>
        <v>0</v>
      </c>
    </row>
    <row r="15" spans="2:14">
      <c r="B15" s="46" t="s">
        <v>687</v>
      </c>
      <c r="C15" s="46"/>
      <c r="D15" s="156"/>
      <c r="E15" s="20"/>
      <c r="F15" s="20"/>
      <c r="G15" s="20"/>
      <c r="H15" s="20"/>
      <c r="I15" s="20"/>
      <c r="J15" s="20"/>
      <c r="K15" s="37"/>
      <c r="L15" s="37"/>
      <c r="M15" s="37"/>
    </row>
    <row r="16" spans="2:14">
      <c r="B16" s="181"/>
      <c r="C16" s="181"/>
      <c r="D16" s="21"/>
      <c r="E16" s="21"/>
      <c r="F16" s="60"/>
      <c r="G16" s="60"/>
      <c r="H16" s="60"/>
      <c r="J16" s="60"/>
      <c r="K16" s="39"/>
      <c r="L16" s="39"/>
      <c r="N16" s="195" t="s">
        <v>117</v>
      </c>
    </row>
    <row r="17" spans="2:15" ht="47.45" customHeight="1">
      <c r="B17" s="318" t="s">
        <v>11</v>
      </c>
      <c r="C17" s="318" t="s">
        <v>49</v>
      </c>
      <c r="D17" s="318" t="s">
        <v>271</v>
      </c>
      <c r="E17" s="318" t="s">
        <v>272</v>
      </c>
      <c r="F17" s="318" t="s">
        <v>285</v>
      </c>
      <c r="G17" s="318" t="s">
        <v>273</v>
      </c>
      <c r="H17" s="318" t="s">
        <v>274</v>
      </c>
      <c r="I17" s="318" t="s">
        <v>275</v>
      </c>
      <c r="J17" s="318" t="s">
        <v>276</v>
      </c>
      <c r="K17" s="318" t="s">
        <v>277</v>
      </c>
      <c r="L17" s="318" t="s">
        <v>278</v>
      </c>
      <c r="M17" s="318" t="s">
        <v>279</v>
      </c>
      <c r="N17" s="318" t="s">
        <v>280</v>
      </c>
    </row>
    <row r="18" spans="2:15">
      <c r="B18" s="457" t="s">
        <v>82</v>
      </c>
      <c r="C18" s="1084" t="s">
        <v>579</v>
      </c>
      <c r="D18" s="457" t="s">
        <v>797</v>
      </c>
      <c r="E18" s="548">
        <v>83.554100000000005</v>
      </c>
      <c r="F18" s="548">
        <f>E18-G18</f>
        <v>8.6807970100000063</v>
      </c>
      <c r="G18" s="548">
        <f>'F1.2'!F14</f>
        <v>74.873302989999999</v>
      </c>
      <c r="H18" s="548">
        <f>'F1.2'!F16</f>
        <v>82.883218740000004</v>
      </c>
      <c r="I18" s="548">
        <f>(E18-H18)</f>
        <v>0.67088126000000159</v>
      </c>
      <c r="J18" s="1233">
        <f>I18/E18</f>
        <v>8.0293038881395599E-3</v>
      </c>
      <c r="K18" s="548">
        <f>I18</f>
        <v>0.67088126000000159</v>
      </c>
      <c r="L18" s="1233">
        <f>J18</f>
        <v>8.0293038881395599E-3</v>
      </c>
      <c r="M18" s="548">
        <v>0</v>
      </c>
      <c r="N18" s="548">
        <v>0</v>
      </c>
    </row>
    <row r="19" spans="2:15">
      <c r="B19" s="457" t="s">
        <v>89</v>
      </c>
      <c r="C19" s="1084" t="s">
        <v>580</v>
      </c>
      <c r="D19" s="457" t="str">
        <f>D18</f>
        <v>22 KV</v>
      </c>
      <c r="E19" s="548">
        <f>H19/(1-J19)</f>
        <v>94.801609965396707</v>
      </c>
      <c r="F19" s="548">
        <f>E19-G19</f>
        <v>7.6634016707512558</v>
      </c>
      <c r="G19" s="548">
        <f>'F1.2'!E14</f>
        <v>87.138208294645452</v>
      </c>
      <c r="H19" s="548">
        <f>'F1'!C45</f>
        <v>94.194879661618174</v>
      </c>
      <c r="I19" s="548">
        <f>(E19-H19)</f>
        <v>0.60673030377853365</v>
      </c>
      <c r="J19" s="1233">
        <v>6.4000000000000003E-3</v>
      </c>
      <c r="K19" s="548">
        <f>I19</f>
        <v>0.60673030377853365</v>
      </c>
      <c r="L19" s="1233">
        <f>J19</f>
        <v>6.4000000000000003E-3</v>
      </c>
      <c r="M19" s="671">
        <f>M18</f>
        <v>0</v>
      </c>
      <c r="N19" s="671">
        <f>N18</f>
        <v>0</v>
      </c>
    </row>
    <row r="20" spans="2:15">
      <c r="B20" s="196"/>
      <c r="C20" s="196"/>
      <c r="D20" s="197"/>
      <c r="E20" s="197"/>
      <c r="F20" s="197"/>
      <c r="G20" s="197"/>
      <c r="H20" s="197"/>
      <c r="I20" s="160"/>
      <c r="J20" s="160"/>
      <c r="K20" s="160"/>
      <c r="L20" s="160"/>
      <c r="M20" s="160"/>
      <c r="N20" s="160"/>
    </row>
    <row r="21" spans="2:15">
      <c r="B21" s="46" t="s">
        <v>1312</v>
      </c>
      <c r="C21" s="46"/>
      <c r="D21" s="156"/>
      <c r="E21" s="20"/>
      <c r="F21" s="20"/>
      <c r="G21" s="20"/>
      <c r="H21" s="20"/>
      <c r="I21" s="20"/>
      <c r="J21" s="20"/>
      <c r="K21" s="37"/>
      <c r="L21" s="37"/>
      <c r="M21" s="37"/>
    </row>
    <row r="22" spans="2:15">
      <c r="B22" s="181"/>
      <c r="C22" s="181"/>
      <c r="D22" s="21"/>
      <c r="E22" s="21"/>
      <c r="F22" s="60"/>
      <c r="G22" s="60"/>
      <c r="H22" s="60"/>
      <c r="J22" s="60"/>
      <c r="K22" s="39"/>
      <c r="L22" s="39"/>
      <c r="N22" s="195" t="s">
        <v>117</v>
      </c>
    </row>
    <row r="23" spans="2:15" ht="47.45" customHeight="1">
      <c r="B23" s="275" t="s">
        <v>11</v>
      </c>
      <c r="C23" s="275" t="s">
        <v>49</v>
      </c>
      <c r="D23" s="369" t="s">
        <v>271</v>
      </c>
      <c r="E23" s="275" t="s">
        <v>272</v>
      </c>
      <c r="F23" s="275" t="s">
        <v>285</v>
      </c>
      <c r="G23" s="275" t="s">
        <v>273</v>
      </c>
      <c r="H23" s="275" t="s">
        <v>274</v>
      </c>
      <c r="I23" s="275" t="s">
        <v>275</v>
      </c>
      <c r="J23" s="275" t="s">
        <v>276</v>
      </c>
      <c r="K23" s="275" t="s">
        <v>277</v>
      </c>
      <c r="L23" s="275" t="s">
        <v>278</v>
      </c>
      <c r="M23" s="275" t="s">
        <v>279</v>
      </c>
      <c r="N23" s="275" t="s">
        <v>280</v>
      </c>
    </row>
    <row r="24" spans="2:15">
      <c r="B24" s="193" t="s">
        <v>82</v>
      </c>
      <c r="C24" s="129" t="s">
        <v>579</v>
      </c>
      <c r="D24" s="457" t="s">
        <v>797</v>
      </c>
      <c r="E24" s="564">
        <v>84.173599999999993</v>
      </c>
      <c r="F24" s="671">
        <f>E24-G24</f>
        <v>8.9078448399999957</v>
      </c>
      <c r="G24" s="671">
        <f>+'F1.2'!J14</f>
        <v>75.265755159999998</v>
      </c>
      <c r="H24" s="671">
        <f>'F1.2'!J16</f>
        <v>83.407231940000003</v>
      </c>
      <c r="I24" s="548">
        <f>(E24-H24)</f>
        <v>0.76636805999999069</v>
      </c>
      <c r="J24" s="1233">
        <f>I24/E24</f>
        <v>9.1046130853378107E-3</v>
      </c>
      <c r="K24" s="548">
        <f>I24</f>
        <v>0.76636805999999069</v>
      </c>
      <c r="L24" s="1233">
        <f t="shared" ref="L24" si="1">J24</f>
        <v>9.1046130853378107E-3</v>
      </c>
      <c r="M24" s="548">
        <v>0</v>
      </c>
      <c r="N24" s="548">
        <v>0</v>
      </c>
    </row>
    <row r="25" spans="2:15">
      <c r="B25" s="193" t="s">
        <v>89</v>
      </c>
      <c r="C25" s="129" t="s">
        <v>580</v>
      </c>
      <c r="D25" s="193" t="s">
        <v>797</v>
      </c>
      <c r="E25" s="1085">
        <f>H25/(1-J25)</f>
        <v>107.78941588517218</v>
      </c>
      <c r="F25" s="548">
        <f>E25-G25</f>
        <v>7.8170903423075515</v>
      </c>
      <c r="G25" s="671">
        <f>'F1.2'!G14</f>
        <v>99.972325542864624</v>
      </c>
      <c r="H25" s="671">
        <f>'F1.2'!G16</f>
        <v>107.09956362350708</v>
      </c>
      <c r="I25" s="548">
        <f>(E25-H25)</f>
        <v>0.68985226166509506</v>
      </c>
      <c r="J25" s="1233">
        <f>J19</f>
        <v>6.4000000000000003E-3</v>
      </c>
      <c r="K25" s="671">
        <f>I25</f>
        <v>0.68985226166509506</v>
      </c>
      <c r="L25" s="1233">
        <f>J25</f>
        <v>6.4000000000000003E-3</v>
      </c>
      <c r="M25" s="671">
        <f>M24</f>
        <v>0</v>
      </c>
      <c r="N25" s="671">
        <f>N24</f>
        <v>0</v>
      </c>
      <c r="O25" s="170"/>
    </row>
    <row r="26" spans="2:15">
      <c r="B26" s="196"/>
      <c r="C26" s="196"/>
      <c r="D26" s="197"/>
      <c r="E26" s="197"/>
      <c r="F26" s="197"/>
      <c r="G26" s="197"/>
      <c r="H26" s="197"/>
      <c r="I26" s="160"/>
      <c r="J26" s="160"/>
      <c r="K26" s="160"/>
      <c r="L26" s="160"/>
      <c r="M26" s="160"/>
      <c r="N26" s="160"/>
    </row>
    <row r="27" spans="2:15">
      <c r="B27" s="196"/>
      <c r="C27" s="196"/>
      <c r="D27" s="197"/>
      <c r="E27" s="197"/>
      <c r="F27" s="197"/>
      <c r="G27" s="197"/>
      <c r="H27" s="197"/>
      <c r="I27" s="160"/>
      <c r="J27" s="160"/>
      <c r="K27" s="160"/>
      <c r="L27" s="160"/>
      <c r="M27" s="160"/>
      <c r="N27" s="160"/>
    </row>
    <row r="28" spans="2:15">
      <c r="B28" s="46" t="s">
        <v>684</v>
      </c>
      <c r="C28" s="46"/>
      <c r="D28" s="156"/>
      <c r="E28" s="20"/>
      <c r="F28" s="20"/>
      <c r="G28" s="20"/>
      <c r="H28" s="20"/>
      <c r="I28" s="20"/>
      <c r="J28" s="20"/>
      <c r="K28" s="37"/>
      <c r="L28" s="37"/>
      <c r="M28" s="37"/>
    </row>
    <row r="29" spans="2:15">
      <c r="B29" s="181"/>
      <c r="C29" s="181"/>
      <c r="D29" s="21"/>
      <c r="E29" s="21"/>
      <c r="F29" s="60"/>
      <c r="G29" s="60"/>
      <c r="H29" s="60"/>
      <c r="J29" s="60"/>
      <c r="K29" s="39"/>
      <c r="L29" s="39"/>
      <c r="N29" s="195" t="s">
        <v>117</v>
      </c>
    </row>
    <row r="30" spans="2:15" ht="47.45" customHeight="1">
      <c r="B30" s="275" t="s">
        <v>11</v>
      </c>
      <c r="C30" s="275" t="s">
        <v>49</v>
      </c>
      <c r="D30" s="275" t="s">
        <v>271</v>
      </c>
      <c r="E30" s="275" t="s">
        <v>272</v>
      </c>
      <c r="F30" s="275" t="s">
        <v>285</v>
      </c>
      <c r="G30" s="275" t="s">
        <v>273</v>
      </c>
      <c r="H30" s="275" t="s">
        <v>274</v>
      </c>
      <c r="I30" s="275" t="s">
        <v>275</v>
      </c>
      <c r="J30" s="275" t="s">
        <v>276</v>
      </c>
      <c r="K30" s="275" t="s">
        <v>277</v>
      </c>
      <c r="L30" s="275" t="s">
        <v>278</v>
      </c>
      <c r="M30" s="275" t="s">
        <v>279</v>
      </c>
      <c r="N30" s="275" t="s">
        <v>280</v>
      </c>
    </row>
    <row r="31" spans="2:15">
      <c r="B31" s="193" t="s">
        <v>82</v>
      </c>
      <c r="C31" s="129" t="s">
        <v>31</v>
      </c>
      <c r="D31" s="457" t="s">
        <v>797</v>
      </c>
      <c r="E31" s="671">
        <f>H31/(1-J31)</f>
        <v>93.694355110965603</v>
      </c>
      <c r="F31" s="671">
        <f>E31-G31</f>
        <v>9.0759423993655872</v>
      </c>
      <c r="G31" s="671">
        <f>'F1.2'!L14</f>
        <v>84.618412711600016</v>
      </c>
      <c r="H31" s="671">
        <f>'F1.2'!L16</f>
        <v>92.841304259400019</v>
      </c>
      <c r="I31" s="548">
        <f>(E31-H31)</f>
        <v>0.85305085156558391</v>
      </c>
      <c r="J31" s="1233">
        <f>+J24</f>
        <v>9.1046130853378107E-3</v>
      </c>
      <c r="K31" s="548">
        <f t="shared" ref="K31" si="2">I31</f>
        <v>0.85305085156558391</v>
      </c>
      <c r="L31" s="1233">
        <f t="shared" ref="L31" si="3">J31</f>
        <v>9.1046130853378107E-3</v>
      </c>
      <c r="M31" s="457">
        <v>0</v>
      </c>
      <c r="N31" s="457">
        <v>0</v>
      </c>
    </row>
    <row r="32" spans="2:15">
      <c r="B32" s="193" t="s">
        <v>89</v>
      </c>
      <c r="C32" s="129" t="s">
        <v>580</v>
      </c>
      <c r="D32" s="671" t="str">
        <f>D31</f>
        <v>22 KV</v>
      </c>
      <c r="E32" s="1085">
        <f>H32/(1-J32)</f>
        <v>113.09436318412052</v>
      </c>
      <c r="F32" s="758">
        <f>E32-G32</f>
        <v>7.9223143858272493</v>
      </c>
      <c r="G32" s="671">
        <f>'F1.2'!K14</f>
        <v>105.17204879829328</v>
      </c>
      <c r="H32" s="671">
        <f>'F1.2'!K16</f>
        <v>112.37055925974215</v>
      </c>
      <c r="I32" s="548">
        <f>(E32-H32)</f>
        <v>0.72380392437837315</v>
      </c>
      <c r="J32" s="817">
        <f>J25</f>
        <v>6.4000000000000003E-3</v>
      </c>
      <c r="K32" s="671">
        <f>I32</f>
        <v>0.72380392437837315</v>
      </c>
      <c r="L32" s="817">
        <f>J32</f>
        <v>6.4000000000000003E-3</v>
      </c>
      <c r="M32" s="673">
        <f>M31</f>
        <v>0</v>
      </c>
      <c r="N32" s="673">
        <f>N31</f>
        <v>0</v>
      </c>
      <c r="O32" s="170"/>
    </row>
    <row r="33" spans="2:15">
      <c r="B33" s="196"/>
      <c r="C33" s="196"/>
      <c r="D33" s="197"/>
      <c r="E33" s="197"/>
      <c r="F33" s="197"/>
      <c r="G33" s="197"/>
      <c r="H33" s="197"/>
      <c r="I33" s="160"/>
      <c r="J33" s="160"/>
      <c r="K33" s="1234"/>
      <c r="L33" s="160"/>
      <c r="M33" s="160"/>
      <c r="N33" s="160"/>
    </row>
    <row r="34" spans="2:15">
      <c r="B34" s="46" t="s">
        <v>685</v>
      </c>
      <c r="C34" s="46"/>
      <c r="D34" s="156"/>
      <c r="E34" s="20"/>
      <c r="F34" s="20"/>
      <c r="G34" s="20"/>
      <c r="H34" s="20"/>
      <c r="I34" s="20"/>
      <c r="J34" s="20"/>
      <c r="K34" s="37"/>
      <c r="L34" s="37"/>
      <c r="M34" s="37"/>
    </row>
    <row r="35" spans="2:15">
      <c r="B35" s="181"/>
      <c r="C35" s="181"/>
      <c r="D35" s="21"/>
      <c r="E35" s="21"/>
      <c r="F35" s="60"/>
      <c r="G35" s="60"/>
      <c r="H35" s="60"/>
      <c r="J35" s="60"/>
      <c r="K35" s="39"/>
      <c r="L35" s="39"/>
      <c r="N35" s="195" t="s">
        <v>117</v>
      </c>
    </row>
    <row r="36" spans="2:15" ht="47.45" customHeight="1">
      <c r="B36" s="275" t="s">
        <v>11</v>
      </c>
      <c r="C36" s="275" t="s">
        <v>49</v>
      </c>
      <c r="D36" s="275" t="s">
        <v>271</v>
      </c>
      <c r="E36" s="275" t="s">
        <v>272</v>
      </c>
      <c r="F36" s="275" t="s">
        <v>285</v>
      </c>
      <c r="G36" s="275" t="s">
        <v>273</v>
      </c>
      <c r="H36" s="275" t="s">
        <v>274</v>
      </c>
      <c r="I36" s="275" t="s">
        <v>275</v>
      </c>
      <c r="J36" s="275" t="s">
        <v>276</v>
      </c>
      <c r="K36" s="275" t="s">
        <v>277</v>
      </c>
      <c r="L36" s="275" t="s">
        <v>278</v>
      </c>
      <c r="M36" s="275" t="s">
        <v>279</v>
      </c>
      <c r="N36" s="275" t="s">
        <v>280</v>
      </c>
    </row>
    <row r="37" spans="2:15">
      <c r="B37" s="193" t="s">
        <v>82</v>
      </c>
      <c r="C37" s="129" t="s">
        <v>31</v>
      </c>
      <c r="D37" s="457" t="s">
        <v>797</v>
      </c>
      <c r="E37" s="671">
        <f>H37/(1-J37)</f>
        <v>95.590027517356319</v>
      </c>
      <c r="F37" s="671">
        <f>E37-G37</f>
        <v>9.1754306786403248</v>
      </c>
      <c r="G37" s="671">
        <f>'F1.2'!N14</f>
        <v>86.414596838715994</v>
      </c>
      <c r="H37" s="671">
        <f>'F1.2'!N16</f>
        <v>94.719717301993995</v>
      </c>
      <c r="I37" s="548">
        <f>(E37-H37)</f>
        <v>0.87031021536232345</v>
      </c>
      <c r="J37" s="1233">
        <f>+J31</f>
        <v>9.1046130853378107E-3</v>
      </c>
      <c r="K37" s="548">
        <f t="shared" ref="K37" si="4">I37</f>
        <v>0.87031021536232345</v>
      </c>
      <c r="L37" s="1233">
        <f t="shared" ref="L37" si="5">J37</f>
        <v>9.1046130853378107E-3</v>
      </c>
      <c r="M37" s="457">
        <v>0</v>
      </c>
      <c r="N37" s="457">
        <v>0</v>
      </c>
    </row>
    <row r="38" spans="2:15">
      <c r="B38" s="193" t="s">
        <v>89</v>
      </c>
      <c r="C38" s="129" t="s">
        <v>580</v>
      </c>
      <c r="D38" s="672" t="str">
        <f>D37</f>
        <v>22 KV</v>
      </c>
      <c r="E38" s="548">
        <f>H38/(1-J38)</f>
        <v>118.26779293660476</v>
      </c>
      <c r="F38" s="758">
        <f>E38-G38</f>
        <v>8.0274094408576389</v>
      </c>
      <c r="G38" s="671">
        <f>'F1.2'!M14</f>
        <v>110.24038349574712</v>
      </c>
      <c r="H38" s="671">
        <f>'F1.2'!M16</f>
        <v>117.5108790618105</v>
      </c>
      <c r="I38" s="548">
        <f>(E38-H38)</f>
        <v>0.75691387479426453</v>
      </c>
      <c r="J38" s="817">
        <f>J32</f>
        <v>6.4000000000000003E-3</v>
      </c>
      <c r="K38" s="671">
        <f>I38</f>
        <v>0.75691387479426453</v>
      </c>
      <c r="L38" s="817">
        <f>J38</f>
        <v>6.4000000000000003E-3</v>
      </c>
      <c r="M38" s="193">
        <v>0</v>
      </c>
      <c r="N38" s="193">
        <v>0</v>
      </c>
      <c r="O38" s="170"/>
    </row>
    <row r="44" spans="2:15">
      <c r="E44" s="458"/>
      <c r="F44" s="458"/>
      <c r="G44" s="459"/>
    </row>
  </sheetData>
  <mergeCells count="3">
    <mergeCell ref="B3:N3"/>
    <mergeCell ref="B4:N4"/>
    <mergeCell ref="B5:N5"/>
  </mergeCells>
  <pageMargins left="0.35433070866141736" right="0.19685039370078741" top="0.28999999999999998" bottom="0.19" header="0.23622047244094491" footer="0.23622047244094491"/>
  <pageSetup paperSize="9" scale="65" orientation="landscape" r:id="rId1"/>
  <headerFooter alignWithMargins="0">
    <oddHeader>&amp;F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2:M49"/>
  <sheetViews>
    <sheetView showGridLines="0" view="pageBreakPreview" zoomScale="80" zoomScaleNormal="80" zoomScaleSheetLayoutView="80" workbookViewId="0">
      <pane xSplit="3" ySplit="7" topLeftCell="D27" activePane="bottomRight" state="frozen"/>
      <selection activeCell="C11" sqref="C11:C12"/>
      <selection pane="topRight" activeCell="C11" sqref="C11:C12"/>
      <selection pane="bottomLeft" activeCell="C11" sqref="C11:C12"/>
      <selection pane="bottomRight" activeCell="C11" sqref="C11:C12"/>
    </sheetView>
  </sheetViews>
  <sheetFormatPr defaultColWidth="9.140625" defaultRowHeight="15"/>
  <cols>
    <col min="1" max="1" width="9.5703125" style="91" customWidth="1"/>
    <col min="2" max="2" width="76.42578125" style="18" customWidth="1"/>
    <col min="3" max="3" width="8.140625" style="18" customWidth="1"/>
    <col min="4" max="4" width="14.42578125" style="18" customWidth="1"/>
    <col min="5" max="5" width="14" style="18" customWidth="1"/>
    <col min="6" max="6" width="12.5703125" style="18" bestFit="1" customWidth="1"/>
    <col min="7" max="7" width="12.85546875" style="18" customWidth="1"/>
    <col min="8" max="8" width="12.5703125" style="18" customWidth="1"/>
    <col min="9" max="9" width="13" style="18" customWidth="1"/>
    <col min="10" max="10" width="10.140625" style="18" customWidth="1"/>
    <col min="11" max="11" width="13.140625" style="18" customWidth="1"/>
    <col min="12" max="12" width="9.140625" style="18" customWidth="1"/>
    <col min="13" max="13" width="12.5703125" style="18" customWidth="1"/>
    <col min="14" max="248" width="9.140625" style="18"/>
    <col min="249" max="249" width="6.85546875" style="18" customWidth="1"/>
    <col min="250" max="250" width="7" style="18" customWidth="1"/>
    <col min="251" max="251" width="17.85546875" style="18" bestFit="1" customWidth="1"/>
    <col min="252" max="252" width="12.85546875" style="18" customWidth="1"/>
    <col min="253" max="253" width="24" style="18" customWidth="1"/>
    <col min="254" max="254" width="13.42578125" style="18" bestFit="1" customWidth="1"/>
    <col min="255" max="255" width="13.85546875" style="18" customWidth="1"/>
    <col min="256" max="256" width="13.140625" style="18" customWidth="1"/>
    <col min="257" max="257" width="22.42578125" style="18" customWidth="1"/>
    <col min="258" max="258" width="18.42578125" style="18" customWidth="1"/>
    <col min="259" max="259" width="22" style="18" customWidth="1"/>
    <col min="260" max="260" width="21.28515625" style="18" customWidth="1"/>
    <col min="261" max="261" width="23" style="18" customWidth="1"/>
    <col min="262" max="504" width="9.140625" style="18"/>
    <col min="505" max="505" width="6.85546875" style="18" customWidth="1"/>
    <col min="506" max="506" width="7" style="18" customWidth="1"/>
    <col min="507" max="507" width="17.85546875" style="18" bestFit="1" customWidth="1"/>
    <col min="508" max="508" width="12.85546875" style="18" customWidth="1"/>
    <col min="509" max="509" width="24" style="18" customWidth="1"/>
    <col min="510" max="510" width="13.42578125" style="18" bestFit="1" customWidth="1"/>
    <col min="511" max="511" width="13.85546875" style="18" customWidth="1"/>
    <col min="512" max="512" width="13.140625" style="18" customWidth="1"/>
    <col min="513" max="513" width="22.42578125" style="18" customWidth="1"/>
    <col min="514" max="514" width="18.42578125" style="18" customWidth="1"/>
    <col min="515" max="515" width="22" style="18" customWidth="1"/>
    <col min="516" max="516" width="21.28515625" style="18" customWidth="1"/>
    <col min="517" max="517" width="23" style="18" customWidth="1"/>
    <col min="518" max="760" width="9.140625" style="18"/>
    <col min="761" max="761" width="6.85546875" style="18" customWidth="1"/>
    <col min="762" max="762" width="7" style="18" customWidth="1"/>
    <col min="763" max="763" width="17.85546875" style="18" bestFit="1" customWidth="1"/>
    <col min="764" max="764" width="12.85546875" style="18" customWidth="1"/>
    <col min="765" max="765" width="24" style="18" customWidth="1"/>
    <col min="766" max="766" width="13.42578125" style="18" bestFit="1" customWidth="1"/>
    <col min="767" max="767" width="13.85546875" style="18" customWidth="1"/>
    <col min="768" max="768" width="13.140625" style="18" customWidth="1"/>
    <col min="769" max="769" width="22.42578125" style="18" customWidth="1"/>
    <col min="770" max="770" width="18.42578125" style="18" customWidth="1"/>
    <col min="771" max="771" width="22" style="18" customWidth="1"/>
    <col min="772" max="772" width="21.28515625" style="18" customWidth="1"/>
    <col min="773" max="773" width="23" style="18" customWidth="1"/>
    <col min="774" max="1016" width="9.140625" style="18"/>
    <col min="1017" max="1017" width="6.85546875" style="18" customWidth="1"/>
    <col min="1018" max="1018" width="7" style="18" customWidth="1"/>
    <col min="1019" max="1019" width="17.85546875" style="18" bestFit="1" customWidth="1"/>
    <col min="1020" max="1020" width="12.85546875" style="18" customWidth="1"/>
    <col min="1021" max="1021" width="24" style="18" customWidth="1"/>
    <col min="1022" max="1022" width="13.42578125" style="18" bestFit="1" customWidth="1"/>
    <col min="1023" max="1023" width="13.85546875" style="18" customWidth="1"/>
    <col min="1024" max="1024" width="13.140625" style="18" customWidth="1"/>
    <col min="1025" max="1025" width="22.42578125" style="18" customWidth="1"/>
    <col min="1026" max="1026" width="18.42578125" style="18" customWidth="1"/>
    <col min="1027" max="1027" width="22" style="18" customWidth="1"/>
    <col min="1028" max="1028" width="21.28515625" style="18" customWidth="1"/>
    <col min="1029" max="1029" width="23" style="18" customWidth="1"/>
    <col min="1030" max="1272" width="9.140625" style="18"/>
    <col min="1273" max="1273" width="6.85546875" style="18" customWidth="1"/>
    <col min="1274" max="1274" width="7" style="18" customWidth="1"/>
    <col min="1275" max="1275" width="17.85546875" style="18" bestFit="1" customWidth="1"/>
    <col min="1276" max="1276" width="12.85546875" style="18" customWidth="1"/>
    <col min="1277" max="1277" width="24" style="18" customWidth="1"/>
    <col min="1278" max="1278" width="13.42578125" style="18" bestFit="1" customWidth="1"/>
    <col min="1279" max="1279" width="13.85546875" style="18" customWidth="1"/>
    <col min="1280" max="1280" width="13.140625" style="18" customWidth="1"/>
    <col min="1281" max="1281" width="22.42578125" style="18" customWidth="1"/>
    <col min="1282" max="1282" width="18.42578125" style="18" customWidth="1"/>
    <col min="1283" max="1283" width="22" style="18" customWidth="1"/>
    <col min="1284" max="1284" width="21.28515625" style="18" customWidth="1"/>
    <col min="1285" max="1285" width="23" style="18" customWidth="1"/>
    <col min="1286" max="1528" width="9.140625" style="18"/>
    <col min="1529" max="1529" width="6.85546875" style="18" customWidth="1"/>
    <col min="1530" max="1530" width="7" style="18" customWidth="1"/>
    <col min="1531" max="1531" width="17.85546875" style="18" bestFit="1" customWidth="1"/>
    <col min="1532" max="1532" width="12.85546875" style="18" customWidth="1"/>
    <col min="1533" max="1533" width="24" style="18" customWidth="1"/>
    <col min="1534" max="1534" width="13.42578125" style="18" bestFit="1" customWidth="1"/>
    <col min="1535" max="1535" width="13.85546875" style="18" customWidth="1"/>
    <col min="1536" max="1536" width="13.140625" style="18" customWidth="1"/>
    <col min="1537" max="1537" width="22.42578125" style="18" customWidth="1"/>
    <col min="1538" max="1538" width="18.42578125" style="18" customWidth="1"/>
    <col min="1539" max="1539" width="22" style="18" customWidth="1"/>
    <col min="1540" max="1540" width="21.28515625" style="18" customWidth="1"/>
    <col min="1541" max="1541" width="23" style="18" customWidth="1"/>
    <col min="1542" max="1784" width="9.140625" style="18"/>
    <col min="1785" max="1785" width="6.85546875" style="18" customWidth="1"/>
    <col min="1786" max="1786" width="7" style="18" customWidth="1"/>
    <col min="1787" max="1787" width="17.85546875" style="18" bestFit="1" customWidth="1"/>
    <col min="1788" max="1788" width="12.85546875" style="18" customWidth="1"/>
    <col min="1789" max="1789" width="24" style="18" customWidth="1"/>
    <col min="1790" max="1790" width="13.42578125" style="18" bestFit="1" customWidth="1"/>
    <col min="1791" max="1791" width="13.85546875" style="18" customWidth="1"/>
    <col min="1792" max="1792" width="13.140625" style="18" customWidth="1"/>
    <col min="1793" max="1793" width="22.42578125" style="18" customWidth="1"/>
    <col min="1794" max="1794" width="18.42578125" style="18" customWidth="1"/>
    <col min="1795" max="1795" width="22" style="18" customWidth="1"/>
    <col min="1796" max="1796" width="21.28515625" style="18" customWidth="1"/>
    <col min="1797" max="1797" width="23" style="18" customWidth="1"/>
    <col min="1798" max="2040" width="9.140625" style="18"/>
    <col min="2041" max="2041" width="6.85546875" style="18" customWidth="1"/>
    <col min="2042" max="2042" width="7" style="18" customWidth="1"/>
    <col min="2043" max="2043" width="17.85546875" style="18" bestFit="1" customWidth="1"/>
    <col min="2044" max="2044" width="12.85546875" style="18" customWidth="1"/>
    <col min="2045" max="2045" width="24" style="18" customWidth="1"/>
    <col min="2046" max="2046" width="13.42578125" style="18" bestFit="1" customWidth="1"/>
    <col min="2047" max="2047" width="13.85546875" style="18" customWidth="1"/>
    <col min="2048" max="2048" width="13.140625" style="18" customWidth="1"/>
    <col min="2049" max="2049" width="22.42578125" style="18" customWidth="1"/>
    <col min="2050" max="2050" width="18.42578125" style="18" customWidth="1"/>
    <col min="2051" max="2051" width="22" style="18" customWidth="1"/>
    <col min="2052" max="2052" width="21.28515625" style="18" customWidth="1"/>
    <col min="2053" max="2053" width="23" style="18" customWidth="1"/>
    <col min="2054" max="2296" width="9.140625" style="18"/>
    <col min="2297" max="2297" width="6.85546875" style="18" customWidth="1"/>
    <col min="2298" max="2298" width="7" style="18" customWidth="1"/>
    <col min="2299" max="2299" width="17.85546875" style="18" bestFit="1" customWidth="1"/>
    <col min="2300" max="2300" width="12.85546875" style="18" customWidth="1"/>
    <col min="2301" max="2301" width="24" style="18" customWidth="1"/>
    <col min="2302" max="2302" width="13.42578125" style="18" bestFit="1" customWidth="1"/>
    <col min="2303" max="2303" width="13.85546875" style="18" customWidth="1"/>
    <col min="2304" max="2304" width="13.140625" style="18" customWidth="1"/>
    <col min="2305" max="2305" width="22.42578125" style="18" customWidth="1"/>
    <col min="2306" max="2306" width="18.42578125" style="18" customWidth="1"/>
    <col min="2307" max="2307" width="22" style="18" customWidth="1"/>
    <col min="2308" max="2308" width="21.28515625" style="18" customWidth="1"/>
    <col min="2309" max="2309" width="23" style="18" customWidth="1"/>
    <col min="2310" max="2552" width="9.140625" style="18"/>
    <col min="2553" max="2553" width="6.85546875" style="18" customWidth="1"/>
    <col min="2554" max="2554" width="7" style="18" customWidth="1"/>
    <col min="2555" max="2555" width="17.85546875" style="18" bestFit="1" customWidth="1"/>
    <col min="2556" max="2556" width="12.85546875" style="18" customWidth="1"/>
    <col min="2557" max="2557" width="24" style="18" customWidth="1"/>
    <col min="2558" max="2558" width="13.42578125" style="18" bestFit="1" customWidth="1"/>
    <col min="2559" max="2559" width="13.85546875" style="18" customWidth="1"/>
    <col min="2560" max="2560" width="13.140625" style="18" customWidth="1"/>
    <col min="2561" max="2561" width="22.42578125" style="18" customWidth="1"/>
    <col min="2562" max="2562" width="18.42578125" style="18" customWidth="1"/>
    <col min="2563" max="2563" width="22" style="18" customWidth="1"/>
    <col min="2564" max="2564" width="21.28515625" style="18" customWidth="1"/>
    <col min="2565" max="2565" width="23" style="18" customWidth="1"/>
    <col min="2566" max="2808" width="9.140625" style="18"/>
    <col min="2809" max="2809" width="6.85546875" style="18" customWidth="1"/>
    <col min="2810" max="2810" width="7" style="18" customWidth="1"/>
    <col min="2811" max="2811" width="17.85546875" style="18" bestFit="1" customWidth="1"/>
    <col min="2812" max="2812" width="12.85546875" style="18" customWidth="1"/>
    <col min="2813" max="2813" width="24" style="18" customWidth="1"/>
    <col min="2814" max="2814" width="13.42578125" style="18" bestFit="1" customWidth="1"/>
    <col min="2815" max="2815" width="13.85546875" style="18" customWidth="1"/>
    <col min="2816" max="2816" width="13.140625" style="18" customWidth="1"/>
    <col min="2817" max="2817" width="22.42578125" style="18" customWidth="1"/>
    <col min="2818" max="2818" width="18.42578125" style="18" customWidth="1"/>
    <col min="2819" max="2819" width="22" style="18" customWidth="1"/>
    <col min="2820" max="2820" width="21.28515625" style="18" customWidth="1"/>
    <col min="2821" max="2821" width="23" style="18" customWidth="1"/>
    <col min="2822" max="3064" width="9.140625" style="18"/>
    <col min="3065" max="3065" width="6.85546875" style="18" customWidth="1"/>
    <col min="3066" max="3066" width="7" style="18" customWidth="1"/>
    <col min="3067" max="3067" width="17.85546875" style="18" bestFit="1" customWidth="1"/>
    <col min="3068" max="3068" width="12.85546875" style="18" customWidth="1"/>
    <col min="3069" max="3069" width="24" style="18" customWidth="1"/>
    <col min="3070" max="3070" width="13.42578125" style="18" bestFit="1" customWidth="1"/>
    <col min="3071" max="3071" width="13.85546875" style="18" customWidth="1"/>
    <col min="3072" max="3072" width="13.140625" style="18" customWidth="1"/>
    <col min="3073" max="3073" width="22.42578125" style="18" customWidth="1"/>
    <col min="3074" max="3074" width="18.42578125" style="18" customWidth="1"/>
    <col min="3075" max="3075" width="22" style="18" customWidth="1"/>
    <col min="3076" max="3076" width="21.28515625" style="18" customWidth="1"/>
    <col min="3077" max="3077" width="23" style="18" customWidth="1"/>
    <col min="3078" max="3320" width="9.140625" style="18"/>
    <col min="3321" max="3321" width="6.85546875" style="18" customWidth="1"/>
    <col min="3322" max="3322" width="7" style="18" customWidth="1"/>
    <col min="3323" max="3323" width="17.85546875" style="18" bestFit="1" customWidth="1"/>
    <col min="3324" max="3324" width="12.85546875" style="18" customWidth="1"/>
    <col min="3325" max="3325" width="24" style="18" customWidth="1"/>
    <col min="3326" max="3326" width="13.42578125" style="18" bestFit="1" customWidth="1"/>
    <col min="3327" max="3327" width="13.85546875" style="18" customWidth="1"/>
    <col min="3328" max="3328" width="13.140625" style="18" customWidth="1"/>
    <col min="3329" max="3329" width="22.42578125" style="18" customWidth="1"/>
    <col min="3330" max="3330" width="18.42578125" style="18" customWidth="1"/>
    <col min="3331" max="3331" width="22" style="18" customWidth="1"/>
    <col min="3332" max="3332" width="21.28515625" style="18" customWidth="1"/>
    <col min="3333" max="3333" width="23" style="18" customWidth="1"/>
    <col min="3334" max="3576" width="9.140625" style="18"/>
    <col min="3577" max="3577" width="6.85546875" style="18" customWidth="1"/>
    <col min="3578" max="3578" width="7" style="18" customWidth="1"/>
    <col min="3579" max="3579" width="17.85546875" style="18" bestFit="1" customWidth="1"/>
    <col min="3580" max="3580" width="12.85546875" style="18" customWidth="1"/>
    <col min="3581" max="3581" width="24" style="18" customWidth="1"/>
    <col min="3582" max="3582" width="13.42578125" style="18" bestFit="1" customWidth="1"/>
    <col min="3583" max="3583" width="13.85546875" style="18" customWidth="1"/>
    <col min="3584" max="3584" width="13.140625" style="18" customWidth="1"/>
    <col min="3585" max="3585" width="22.42578125" style="18" customWidth="1"/>
    <col min="3586" max="3586" width="18.42578125" style="18" customWidth="1"/>
    <col min="3587" max="3587" width="22" style="18" customWidth="1"/>
    <col min="3588" max="3588" width="21.28515625" style="18" customWidth="1"/>
    <col min="3589" max="3589" width="23" style="18" customWidth="1"/>
    <col min="3590" max="3832" width="9.140625" style="18"/>
    <col min="3833" max="3833" width="6.85546875" style="18" customWidth="1"/>
    <col min="3834" max="3834" width="7" style="18" customWidth="1"/>
    <col min="3835" max="3835" width="17.85546875" style="18" bestFit="1" customWidth="1"/>
    <col min="3836" max="3836" width="12.85546875" style="18" customWidth="1"/>
    <col min="3837" max="3837" width="24" style="18" customWidth="1"/>
    <col min="3838" max="3838" width="13.42578125" style="18" bestFit="1" customWidth="1"/>
    <col min="3839" max="3839" width="13.85546875" style="18" customWidth="1"/>
    <col min="3840" max="3840" width="13.140625" style="18" customWidth="1"/>
    <col min="3841" max="3841" width="22.42578125" style="18" customWidth="1"/>
    <col min="3842" max="3842" width="18.42578125" style="18" customWidth="1"/>
    <col min="3843" max="3843" width="22" style="18" customWidth="1"/>
    <col min="3844" max="3844" width="21.28515625" style="18" customWidth="1"/>
    <col min="3845" max="3845" width="23" style="18" customWidth="1"/>
    <col min="3846" max="4088" width="9.140625" style="18"/>
    <col min="4089" max="4089" width="6.85546875" style="18" customWidth="1"/>
    <col min="4090" max="4090" width="7" style="18" customWidth="1"/>
    <col min="4091" max="4091" width="17.85546875" style="18" bestFit="1" customWidth="1"/>
    <col min="4092" max="4092" width="12.85546875" style="18" customWidth="1"/>
    <col min="4093" max="4093" width="24" style="18" customWidth="1"/>
    <col min="4094" max="4094" width="13.42578125" style="18" bestFit="1" customWidth="1"/>
    <col min="4095" max="4095" width="13.85546875" style="18" customWidth="1"/>
    <col min="4096" max="4096" width="13.140625" style="18" customWidth="1"/>
    <col min="4097" max="4097" width="22.42578125" style="18" customWidth="1"/>
    <col min="4098" max="4098" width="18.42578125" style="18" customWidth="1"/>
    <col min="4099" max="4099" width="22" style="18" customWidth="1"/>
    <col min="4100" max="4100" width="21.28515625" style="18" customWidth="1"/>
    <col min="4101" max="4101" width="23" style="18" customWidth="1"/>
    <col min="4102" max="4344" width="9.140625" style="18"/>
    <col min="4345" max="4345" width="6.85546875" style="18" customWidth="1"/>
    <col min="4346" max="4346" width="7" style="18" customWidth="1"/>
    <col min="4347" max="4347" width="17.85546875" style="18" bestFit="1" customWidth="1"/>
    <col min="4348" max="4348" width="12.85546875" style="18" customWidth="1"/>
    <col min="4349" max="4349" width="24" style="18" customWidth="1"/>
    <col min="4350" max="4350" width="13.42578125" style="18" bestFit="1" customWidth="1"/>
    <col min="4351" max="4351" width="13.85546875" style="18" customWidth="1"/>
    <col min="4352" max="4352" width="13.140625" style="18" customWidth="1"/>
    <col min="4353" max="4353" width="22.42578125" style="18" customWidth="1"/>
    <col min="4354" max="4354" width="18.42578125" style="18" customWidth="1"/>
    <col min="4355" max="4355" width="22" style="18" customWidth="1"/>
    <col min="4356" max="4356" width="21.28515625" style="18" customWidth="1"/>
    <col min="4357" max="4357" width="23" style="18" customWidth="1"/>
    <col min="4358" max="4600" width="9.140625" style="18"/>
    <col min="4601" max="4601" width="6.85546875" style="18" customWidth="1"/>
    <col min="4602" max="4602" width="7" style="18" customWidth="1"/>
    <col min="4603" max="4603" width="17.85546875" style="18" bestFit="1" customWidth="1"/>
    <col min="4604" max="4604" width="12.85546875" style="18" customWidth="1"/>
    <col min="4605" max="4605" width="24" style="18" customWidth="1"/>
    <col min="4606" max="4606" width="13.42578125" style="18" bestFit="1" customWidth="1"/>
    <col min="4607" max="4607" width="13.85546875" style="18" customWidth="1"/>
    <col min="4608" max="4608" width="13.140625" style="18" customWidth="1"/>
    <col min="4609" max="4609" width="22.42578125" style="18" customWidth="1"/>
    <col min="4610" max="4610" width="18.42578125" style="18" customWidth="1"/>
    <col min="4611" max="4611" width="22" style="18" customWidth="1"/>
    <col min="4612" max="4612" width="21.28515625" style="18" customWidth="1"/>
    <col min="4613" max="4613" width="23" style="18" customWidth="1"/>
    <col min="4614" max="4856" width="9.140625" style="18"/>
    <col min="4857" max="4857" width="6.85546875" style="18" customWidth="1"/>
    <col min="4858" max="4858" width="7" style="18" customWidth="1"/>
    <col min="4859" max="4859" width="17.85546875" style="18" bestFit="1" customWidth="1"/>
    <col min="4860" max="4860" width="12.85546875" style="18" customWidth="1"/>
    <col min="4861" max="4861" width="24" style="18" customWidth="1"/>
    <col min="4862" max="4862" width="13.42578125" style="18" bestFit="1" customWidth="1"/>
    <col min="4863" max="4863" width="13.85546875" style="18" customWidth="1"/>
    <col min="4864" max="4864" width="13.140625" style="18" customWidth="1"/>
    <col min="4865" max="4865" width="22.42578125" style="18" customWidth="1"/>
    <col min="4866" max="4866" width="18.42578125" style="18" customWidth="1"/>
    <col min="4867" max="4867" width="22" style="18" customWidth="1"/>
    <col min="4868" max="4868" width="21.28515625" style="18" customWidth="1"/>
    <col min="4869" max="4869" width="23" style="18" customWidth="1"/>
    <col min="4870" max="5112" width="9.140625" style="18"/>
    <col min="5113" max="5113" width="6.85546875" style="18" customWidth="1"/>
    <col min="5114" max="5114" width="7" style="18" customWidth="1"/>
    <col min="5115" max="5115" width="17.85546875" style="18" bestFit="1" customWidth="1"/>
    <col min="5116" max="5116" width="12.85546875" style="18" customWidth="1"/>
    <col min="5117" max="5117" width="24" style="18" customWidth="1"/>
    <col min="5118" max="5118" width="13.42578125" style="18" bestFit="1" customWidth="1"/>
    <col min="5119" max="5119" width="13.85546875" style="18" customWidth="1"/>
    <col min="5120" max="5120" width="13.140625" style="18" customWidth="1"/>
    <col min="5121" max="5121" width="22.42578125" style="18" customWidth="1"/>
    <col min="5122" max="5122" width="18.42578125" style="18" customWidth="1"/>
    <col min="5123" max="5123" width="22" style="18" customWidth="1"/>
    <col min="5124" max="5124" width="21.28515625" style="18" customWidth="1"/>
    <col min="5125" max="5125" width="23" style="18" customWidth="1"/>
    <col min="5126" max="5368" width="9.140625" style="18"/>
    <col min="5369" max="5369" width="6.85546875" style="18" customWidth="1"/>
    <col min="5370" max="5370" width="7" style="18" customWidth="1"/>
    <col min="5371" max="5371" width="17.85546875" style="18" bestFit="1" customWidth="1"/>
    <col min="5372" max="5372" width="12.85546875" style="18" customWidth="1"/>
    <col min="5373" max="5373" width="24" style="18" customWidth="1"/>
    <col min="5374" max="5374" width="13.42578125" style="18" bestFit="1" customWidth="1"/>
    <col min="5375" max="5375" width="13.85546875" style="18" customWidth="1"/>
    <col min="5376" max="5376" width="13.140625" style="18" customWidth="1"/>
    <col min="5377" max="5377" width="22.42578125" style="18" customWidth="1"/>
    <col min="5378" max="5378" width="18.42578125" style="18" customWidth="1"/>
    <col min="5379" max="5379" width="22" style="18" customWidth="1"/>
    <col min="5380" max="5380" width="21.28515625" style="18" customWidth="1"/>
    <col min="5381" max="5381" width="23" style="18" customWidth="1"/>
    <col min="5382" max="5624" width="9.140625" style="18"/>
    <col min="5625" max="5625" width="6.85546875" style="18" customWidth="1"/>
    <col min="5626" max="5626" width="7" style="18" customWidth="1"/>
    <col min="5627" max="5627" width="17.85546875" style="18" bestFit="1" customWidth="1"/>
    <col min="5628" max="5628" width="12.85546875" style="18" customWidth="1"/>
    <col min="5629" max="5629" width="24" style="18" customWidth="1"/>
    <col min="5630" max="5630" width="13.42578125" style="18" bestFit="1" customWidth="1"/>
    <col min="5631" max="5631" width="13.85546875" style="18" customWidth="1"/>
    <col min="5632" max="5632" width="13.140625" style="18" customWidth="1"/>
    <col min="5633" max="5633" width="22.42578125" style="18" customWidth="1"/>
    <col min="5634" max="5634" width="18.42578125" style="18" customWidth="1"/>
    <col min="5635" max="5635" width="22" style="18" customWidth="1"/>
    <col min="5636" max="5636" width="21.28515625" style="18" customWidth="1"/>
    <col min="5637" max="5637" width="23" style="18" customWidth="1"/>
    <col min="5638" max="5880" width="9.140625" style="18"/>
    <col min="5881" max="5881" width="6.85546875" style="18" customWidth="1"/>
    <col min="5882" max="5882" width="7" style="18" customWidth="1"/>
    <col min="5883" max="5883" width="17.85546875" style="18" bestFit="1" customWidth="1"/>
    <col min="5884" max="5884" width="12.85546875" style="18" customWidth="1"/>
    <col min="5885" max="5885" width="24" style="18" customWidth="1"/>
    <col min="5886" max="5886" width="13.42578125" style="18" bestFit="1" customWidth="1"/>
    <col min="5887" max="5887" width="13.85546875" style="18" customWidth="1"/>
    <col min="5888" max="5888" width="13.140625" style="18" customWidth="1"/>
    <col min="5889" max="5889" width="22.42578125" style="18" customWidth="1"/>
    <col min="5890" max="5890" width="18.42578125" style="18" customWidth="1"/>
    <col min="5891" max="5891" width="22" style="18" customWidth="1"/>
    <col min="5892" max="5892" width="21.28515625" style="18" customWidth="1"/>
    <col min="5893" max="5893" width="23" style="18" customWidth="1"/>
    <col min="5894" max="6136" width="9.140625" style="18"/>
    <col min="6137" max="6137" width="6.85546875" style="18" customWidth="1"/>
    <col min="6138" max="6138" width="7" style="18" customWidth="1"/>
    <col min="6139" max="6139" width="17.85546875" style="18" bestFit="1" customWidth="1"/>
    <col min="6140" max="6140" width="12.85546875" style="18" customWidth="1"/>
    <col min="6141" max="6141" width="24" style="18" customWidth="1"/>
    <col min="6142" max="6142" width="13.42578125" style="18" bestFit="1" customWidth="1"/>
    <col min="6143" max="6143" width="13.85546875" style="18" customWidth="1"/>
    <col min="6144" max="6144" width="13.140625" style="18" customWidth="1"/>
    <col min="6145" max="6145" width="22.42578125" style="18" customWidth="1"/>
    <col min="6146" max="6146" width="18.42578125" style="18" customWidth="1"/>
    <col min="6147" max="6147" width="22" style="18" customWidth="1"/>
    <col min="6148" max="6148" width="21.28515625" style="18" customWidth="1"/>
    <col min="6149" max="6149" width="23" style="18" customWidth="1"/>
    <col min="6150" max="6392" width="9.140625" style="18"/>
    <col min="6393" max="6393" width="6.85546875" style="18" customWidth="1"/>
    <col min="6394" max="6394" width="7" style="18" customWidth="1"/>
    <col min="6395" max="6395" width="17.85546875" style="18" bestFit="1" customWidth="1"/>
    <col min="6396" max="6396" width="12.85546875" style="18" customWidth="1"/>
    <col min="6397" max="6397" width="24" style="18" customWidth="1"/>
    <col min="6398" max="6398" width="13.42578125" style="18" bestFit="1" customWidth="1"/>
    <col min="6399" max="6399" width="13.85546875" style="18" customWidth="1"/>
    <col min="6400" max="6400" width="13.140625" style="18" customWidth="1"/>
    <col min="6401" max="6401" width="22.42578125" style="18" customWidth="1"/>
    <col min="6402" max="6402" width="18.42578125" style="18" customWidth="1"/>
    <col min="6403" max="6403" width="22" style="18" customWidth="1"/>
    <col min="6404" max="6404" width="21.28515625" style="18" customWidth="1"/>
    <col min="6405" max="6405" width="23" style="18" customWidth="1"/>
    <col min="6406" max="6648" width="9.140625" style="18"/>
    <col min="6649" max="6649" width="6.85546875" style="18" customWidth="1"/>
    <col min="6650" max="6650" width="7" style="18" customWidth="1"/>
    <col min="6651" max="6651" width="17.85546875" style="18" bestFit="1" customWidth="1"/>
    <col min="6652" max="6652" width="12.85546875" style="18" customWidth="1"/>
    <col min="6653" max="6653" width="24" style="18" customWidth="1"/>
    <col min="6654" max="6654" width="13.42578125" style="18" bestFit="1" customWidth="1"/>
    <col min="6655" max="6655" width="13.85546875" style="18" customWidth="1"/>
    <col min="6656" max="6656" width="13.140625" style="18" customWidth="1"/>
    <col min="6657" max="6657" width="22.42578125" style="18" customWidth="1"/>
    <col min="6658" max="6658" width="18.42578125" style="18" customWidth="1"/>
    <col min="6659" max="6659" width="22" style="18" customWidth="1"/>
    <col min="6660" max="6660" width="21.28515625" style="18" customWidth="1"/>
    <col min="6661" max="6661" width="23" style="18" customWidth="1"/>
    <col min="6662" max="6904" width="9.140625" style="18"/>
    <col min="6905" max="6905" width="6.85546875" style="18" customWidth="1"/>
    <col min="6906" max="6906" width="7" style="18" customWidth="1"/>
    <col min="6907" max="6907" width="17.85546875" style="18" bestFit="1" customWidth="1"/>
    <col min="6908" max="6908" width="12.85546875" style="18" customWidth="1"/>
    <col min="6909" max="6909" width="24" style="18" customWidth="1"/>
    <col min="6910" max="6910" width="13.42578125" style="18" bestFit="1" customWidth="1"/>
    <col min="6911" max="6911" width="13.85546875" style="18" customWidth="1"/>
    <col min="6912" max="6912" width="13.140625" style="18" customWidth="1"/>
    <col min="6913" max="6913" width="22.42578125" style="18" customWidth="1"/>
    <col min="6914" max="6914" width="18.42578125" style="18" customWidth="1"/>
    <col min="6915" max="6915" width="22" style="18" customWidth="1"/>
    <col min="6916" max="6916" width="21.28515625" style="18" customWidth="1"/>
    <col min="6917" max="6917" width="23" style="18" customWidth="1"/>
    <col min="6918" max="7160" width="9.140625" style="18"/>
    <col min="7161" max="7161" width="6.85546875" style="18" customWidth="1"/>
    <col min="7162" max="7162" width="7" style="18" customWidth="1"/>
    <col min="7163" max="7163" width="17.85546875" style="18" bestFit="1" customWidth="1"/>
    <col min="7164" max="7164" width="12.85546875" style="18" customWidth="1"/>
    <col min="7165" max="7165" width="24" style="18" customWidth="1"/>
    <col min="7166" max="7166" width="13.42578125" style="18" bestFit="1" customWidth="1"/>
    <col min="7167" max="7167" width="13.85546875" style="18" customWidth="1"/>
    <col min="7168" max="7168" width="13.140625" style="18" customWidth="1"/>
    <col min="7169" max="7169" width="22.42578125" style="18" customWidth="1"/>
    <col min="7170" max="7170" width="18.42578125" style="18" customWidth="1"/>
    <col min="7171" max="7171" width="22" style="18" customWidth="1"/>
    <col min="7172" max="7172" width="21.28515625" style="18" customWidth="1"/>
    <col min="7173" max="7173" width="23" style="18" customWidth="1"/>
    <col min="7174" max="7416" width="9.140625" style="18"/>
    <col min="7417" max="7417" width="6.85546875" style="18" customWidth="1"/>
    <col min="7418" max="7418" width="7" style="18" customWidth="1"/>
    <col min="7419" max="7419" width="17.85546875" style="18" bestFit="1" customWidth="1"/>
    <col min="7420" max="7420" width="12.85546875" style="18" customWidth="1"/>
    <col min="7421" max="7421" width="24" style="18" customWidth="1"/>
    <col min="7422" max="7422" width="13.42578125" style="18" bestFit="1" customWidth="1"/>
    <col min="7423" max="7423" width="13.85546875" style="18" customWidth="1"/>
    <col min="7424" max="7424" width="13.140625" style="18" customWidth="1"/>
    <col min="7425" max="7425" width="22.42578125" style="18" customWidth="1"/>
    <col min="7426" max="7426" width="18.42578125" style="18" customWidth="1"/>
    <col min="7427" max="7427" width="22" style="18" customWidth="1"/>
    <col min="7428" max="7428" width="21.28515625" style="18" customWidth="1"/>
    <col min="7429" max="7429" width="23" style="18" customWidth="1"/>
    <col min="7430" max="7672" width="9.140625" style="18"/>
    <col min="7673" max="7673" width="6.85546875" style="18" customWidth="1"/>
    <col min="7674" max="7674" width="7" style="18" customWidth="1"/>
    <col min="7675" max="7675" width="17.85546875" style="18" bestFit="1" customWidth="1"/>
    <col min="7676" max="7676" width="12.85546875" style="18" customWidth="1"/>
    <col min="7677" max="7677" width="24" style="18" customWidth="1"/>
    <col min="7678" max="7678" width="13.42578125" style="18" bestFit="1" customWidth="1"/>
    <col min="7679" max="7679" width="13.85546875" style="18" customWidth="1"/>
    <col min="7680" max="7680" width="13.140625" style="18" customWidth="1"/>
    <col min="7681" max="7681" width="22.42578125" style="18" customWidth="1"/>
    <col min="7682" max="7682" width="18.42578125" style="18" customWidth="1"/>
    <col min="7683" max="7683" width="22" style="18" customWidth="1"/>
    <col min="7684" max="7684" width="21.28515625" style="18" customWidth="1"/>
    <col min="7685" max="7685" width="23" style="18" customWidth="1"/>
    <col min="7686" max="7928" width="9.140625" style="18"/>
    <col min="7929" max="7929" width="6.85546875" style="18" customWidth="1"/>
    <col min="7930" max="7930" width="7" style="18" customWidth="1"/>
    <col min="7931" max="7931" width="17.85546875" style="18" bestFit="1" customWidth="1"/>
    <col min="7932" max="7932" width="12.85546875" style="18" customWidth="1"/>
    <col min="7933" max="7933" width="24" style="18" customWidth="1"/>
    <col min="7934" max="7934" width="13.42578125" style="18" bestFit="1" customWidth="1"/>
    <col min="7935" max="7935" width="13.85546875" style="18" customWidth="1"/>
    <col min="7936" max="7936" width="13.140625" style="18" customWidth="1"/>
    <col min="7937" max="7937" width="22.42578125" style="18" customWidth="1"/>
    <col min="7938" max="7938" width="18.42578125" style="18" customWidth="1"/>
    <col min="7939" max="7939" width="22" style="18" customWidth="1"/>
    <col min="7940" max="7940" width="21.28515625" style="18" customWidth="1"/>
    <col min="7941" max="7941" width="23" style="18" customWidth="1"/>
    <col min="7942" max="8184" width="9.140625" style="18"/>
    <col min="8185" max="8185" width="6.85546875" style="18" customWidth="1"/>
    <col min="8186" max="8186" width="7" style="18" customWidth="1"/>
    <col min="8187" max="8187" width="17.85546875" style="18" bestFit="1" customWidth="1"/>
    <col min="8188" max="8188" width="12.85546875" style="18" customWidth="1"/>
    <col min="8189" max="8189" width="24" style="18" customWidth="1"/>
    <col min="8190" max="8190" width="13.42578125" style="18" bestFit="1" customWidth="1"/>
    <col min="8191" max="8191" width="13.85546875" style="18" customWidth="1"/>
    <col min="8192" max="8192" width="13.140625" style="18" customWidth="1"/>
    <col min="8193" max="8193" width="22.42578125" style="18" customWidth="1"/>
    <col min="8194" max="8194" width="18.42578125" style="18" customWidth="1"/>
    <col min="8195" max="8195" width="22" style="18" customWidth="1"/>
    <col min="8196" max="8196" width="21.28515625" style="18" customWidth="1"/>
    <col min="8197" max="8197" width="23" style="18" customWidth="1"/>
    <col min="8198" max="8440" width="9.140625" style="18"/>
    <col min="8441" max="8441" width="6.85546875" style="18" customWidth="1"/>
    <col min="8442" max="8442" width="7" style="18" customWidth="1"/>
    <col min="8443" max="8443" width="17.85546875" style="18" bestFit="1" customWidth="1"/>
    <col min="8444" max="8444" width="12.85546875" style="18" customWidth="1"/>
    <col min="8445" max="8445" width="24" style="18" customWidth="1"/>
    <col min="8446" max="8446" width="13.42578125" style="18" bestFit="1" customWidth="1"/>
    <col min="8447" max="8447" width="13.85546875" style="18" customWidth="1"/>
    <col min="8448" max="8448" width="13.140625" style="18" customWidth="1"/>
    <col min="8449" max="8449" width="22.42578125" style="18" customWidth="1"/>
    <col min="8450" max="8450" width="18.42578125" style="18" customWidth="1"/>
    <col min="8451" max="8451" width="22" style="18" customWidth="1"/>
    <col min="8452" max="8452" width="21.28515625" style="18" customWidth="1"/>
    <col min="8453" max="8453" width="23" style="18" customWidth="1"/>
    <col min="8454" max="8696" width="9.140625" style="18"/>
    <col min="8697" max="8697" width="6.85546875" style="18" customWidth="1"/>
    <col min="8698" max="8698" width="7" style="18" customWidth="1"/>
    <col min="8699" max="8699" width="17.85546875" style="18" bestFit="1" customWidth="1"/>
    <col min="8700" max="8700" width="12.85546875" style="18" customWidth="1"/>
    <col min="8701" max="8701" width="24" style="18" customWidth="1"/>
    <col min="8702" max="8702" width="13.42578125" style="18" bestFit="1" customWidth="1"/>
    <col min="8703" max="8703" width="13.85546875" style="18" customWidth="1"/>
    <col min="8704" max="8704" width="13.140625" style="18" customWidth="1"/>
    <col min="8705" max="8705" width="22.42578125" style="18" customWidth="1"/>
    <col min="8706" max="8706" width="18.42578125" style="18" customWidth="1"/>
    <col min="8707" max="8707" width="22" style="18" customWidth="1"/>
    <col min="8708" max="8708" width="21.28515625" style="18" customWidth="1"/>
    <col min="8709" max="8709" width="23" style="18" customWidth="1"/>
    <col min="8710" max="8952" width="9.140625" style="18"/>
    <col min="8953" max="8953" width="6.85546875" style="18" customWidth="1"/>
    <col min="8954" max="8954" width="7" style="18" customWidth="1"/>
    <col min="8955" max="8955" width="17.85546875" style="18" bestFit="1" customWidth="1"/>
    <col min="8956" max="8956" width="12.85546875" style="18" customWidth="1"/>
    <col min="8957" max="8957" width="24" style="18" customWidth="1"/>
    <col min="8958" max="8958" width="13.42578125" style="18" bestFit="1" customWidth="1"/>
    <col min="8959" max="8959" width="13.85546875" style="18" customWidth="1"/>
    <col min="8960" max="8960" width="13.140625" style="18" customWidth="1"/>
    <col min="8961" max="8961" width="22.42578125" style="18" customWidth="1"/>
    <col min="8962" max="8962" width="18.42578125" style="18" customWidth="1"/>
    <col min="8963" max="8963" width="22" style="18" customWidth="1"/>
    <col min="8964" max="8964" width="21.28515625" style="18" customWidth="1"/>
    <col min="8965" max="8965" width="23" style="18" customWidth="1"/>
    <col min="8966" max="9208" width="9.140625" style="18"/>
    <col min="9209" max="9209" width="6.85546875" style="18" customWidth="1"/>
    <col min="9210" max="9210" width="7" style="18" customWidth="1"/>
    <col min="9211" max="9211" width="17.85546875" style="18" bestFit="1" customWidth="1"/>
    <col min="9212" max="9212" width="12.85546875" style="18" customWidth="1"/>
    <col min="9213" max="9213" width="24" style="18" customWidth="1"/>
    <col min="9214" max="9214" width="13.42578125" style="18" bestFit="1" customWidth="1"/>
    <col min="9215" max="9215" width="13.85546875" style="18" customWidth="1"/>
    <col min="9216" max="9216" width="13.140625" style="18" customWidth="1"/>
    <col min="9217" max="9217" width="22.42578125" style="18" customWidth="1"/>
    <col min="9218" max="9218" width="18.42578125" style="18" customWidth="1"/>
    <col min="9219" max="9219" width="22" style="18" customWidth="1"/>
    <col min="9220" max="9220" width="21.28515625" style="18" customWidth="1"/>
    <col min="9221" max="9221" width="23" style="18" customWidth="1"/>
    <col min="9222" max="9464" width="9.140625" style="18"/>
    <col min="9465" max="9465" width="6.85546875" style="18" customWidth="1"/>
    <col min="9466" max="9466" width="7" style="18" customWidth="1"/>
    <col min="9467" max="9467" width="17.85546875" style="18" bestFit="1" customWidth="1"/>
    <col min="9468" max="9468" width="12.85546875" style="18" customWidth="1"/>
    <col min="9469" max="9469" width="24" style="18" customWidth="1"/>
    <col min="9470" max="9470" width="13.42578125" style="18" bestFit="1" customWidth="1"/>
    <col min="9471" max="9471" width="13.85546875" style="18" customWidth="1"/>
    <col min="9472" max="9472" width="13.140625" style="18" customWidth="1"/>
    <col min="9473" max="9473" width="22.42578125" style="18" customWidth="1"/>
    <col min="9474" max="9474" width="18.42578125" style="18" customWidth="1"/>
    <col min="9475" max="9475" width="22" style="18" customWidth="1"/>
    <col min="9476" max="9476" width="21.28515625" style="18" customWidth="1"/>
    <col min="9477" max="9477" width="23" style="18" customWidth="1"/>
    <col min="9478" max="9720" width="9.140625" style="18"/>
    <col min="9721" max="9721" width="6.85546875" style="18" customWidth="1"/>
    <col min="9722" max="9722" width="7" style="18" customWidth="1"/>
    <col min="9723" max="9723" width="17.85546875" style="18" bestFit="1" customWidth="1"/>
    <col min="9724" max="9724" width="12.85546875" style="18" customWidth="1"/>
    <col min="9725" max="9725" width="24" style="18" customWidth="1"/>
    <col min="9726" max="9726" width="13.42578125" style="18" bestFit="1" customWidth="1"/>
    <col min="9727" max="9727" width="13.85546875" style="18" customWidth="1"/>
    <col min="9728" max="9728" width="13.140625" style="18" customWidth="1"/>
    <col min="9729" max="9729" width="22.42578125" style="18" customWidth="1"/>
    <col min="9730" max="9730" width="18.42578125" style="18" customWidth="1"/>
    <col min="9731" max="9731" width="22" style="18" customWidth="1"/>
    <col min="9732" max="9732" width="21.28515625" style="18" customWidth="1"/>
    <col min="9733" max="9733" width="23" style="18" customWidth="1"/>
    <col min="9734" max="9976" width="9.140625" style="18"/>
    <col min="9977" max="9977" width="6.85546875" style="18" customWidth="1"/>
    <col min="9978" max="9978" width="7" style="18" customWidth="1"/>
    <col min="9979" max="9979" width="17.85546875" style="18" bestFit="1" customWidth="1"/>
    <col min="9980" max="9980" width="12.85546875" style="18" customWidth="1"/>
    <col min="9981" max="9981" width="24" style="18" customWidth="1"/>
    <col min="9982" max="9982" width="13.42578125" style="18" bestFit="1" customWidth="1"/>
    <col min="9983" max="9983" width="13.85546875" style="18" customWidth="1"/>
    <col min="9984" max="9984" width="13.140625" style="18" customWidth="1"/>
    <col min="9985" max="9985" width="22.42578125" style="18" customWidth="1"/>
    <col min="9986" max="9986" width="18.42578125" style="18" customWidth="1"/>
    <col min="9987" max="9987" width="22" style="18" customWidth="1"/>
    <col min="9988" max="9988" width="21.28515625" style="18" customWidth="1"/>
    <col min="9989" max="9989" width="23" style="18" customWidth="1"/>
    <col min="9990" max="10232" width="9.140625" style="18"/>
    <col min="10233" max="10233" width="6.85546875" style="18" customWidth="1"/>
    <col min="10234" max="10234" width="7" style="18" customWidth="1"/>
    <col min="10235" max="10235" width="17.85546875" style="18" bestFit="1" customWidth="1"/>
    <col min="10236" max="10236" width="12.85546875" style="18" customWidth="1"/>
    <col min="10237" max="10237" width="24" style="18" customWidth="1"/>
    <col min="10238" max="10238" width="13.42578125" style="18" bestFit="1" customWidth="1"/>
    <col min="10239" max="10239" width="13.85546875" style="18" customWidth="1"/>
    <col min="10240" max="10240" width="13.140625" style="18" customWidth="1"/>
    <col min="10241" max="10241" width="22.42578125" style="18" customWidth="1"/>
    <col min="10242" max="10242" width="18.42578125" style="18" customWidth="1"/>
    <col min="10243" max="10243" width="22" style="18" customWidth="1"/>
    <col min="10244" max="10244" width="21.28515625" style="18" customWidth="1"/>
    <col min="10245" max="10245" width="23" style="18" customWidth="1"/>
    <col min="10246" max="10488" width="9.140625" style="18"/>
    <col min="10489" max="10489" width="6.85546875" style="18" customWidth="1"/>
    <col min="10490" max="10490" width="7" style="18" customWidth="1"/>
    <col min="10491" max="10491" width="17.85546875" style="18" bestFit="1" customWidth="1"/>
    <col min="10492" max="10492" width="12.85546875" style="18" customWidth="1"/>
    <col min="10493" max="10493" width="24" style="18" customWidth="1"/>
    <col min="10494" max="10494" width="13.42578125" style="18" bestFit="1" customWidth="1"/>
    <col min="10495" max="10495" width="13.85546875" style="18" customWidth="1"/>
    <col min="10496" max="10496" width="13.140625" style="18" customWidth="1"/>
    <col min="10497" max="10497" width="22.42578125" style="18" customWidth="1"/>
    <col min="10498" max="10498" width="18.42578125" style="18" customWidth="1"/>
    <col min="10499" max="10499" width="22" style="18" customWidth="1"/>
    <col min="10500" max="10500" width="21.28515625" style="18" customWidth="1"/>
    <col min="10501" max="10501" width="23" style="18" customWidth="1"/>
    <col min="10502" max="10744" width="9.140625" style="18"/>
    <col min="10745" max="10745" width="6.85546875" style="18" customWidth="1"/>
    <col min="10746" max="10746" width="7" style="18" customWidth="1"/>
    <col min="10747" max="10747" width="17.85546875" style="18" bestFit="1" customWidth="1"/>
    <col min="10748" max="10748" width="12.85546875" style="18" customWidth="1"/>
    <col min="10749" max="10749" width="24" style="18" customWidth="1"/>
    <col min="10750" max="10750" width="13.42578125" style="18" bestFit="1" customWidth="1"/>
    <col min="10751" max="10751" width="13.85546875" style="18" customWidth="1"/>
    <col min="10752" max="10752" width="13.140625" style="18" customWidth="1"/>
    <col min="10753" max="10753" width="22.42578125" style="18" customWidth="1"/>
    <col min="10754" max="10754" width="18.42578125" style="18" customWidth="1"/>
    <col min="10755" max="10755" width="22" style="18" customWidth="1"/>
    <col min="10756" max="10756" width="21.28515625" style="18" customWidth="1"/>
    <col min="10757" max="10757" width="23" style="18" customWidth="1"/>
    <col min="10758" max="11000" width="9.140625" style="18"/>
    <col min="11001" max="11001" width="6.85546875" style="18" customWidth="1"/>
    <col min="11002" max="11002" width="7" style="18" customWidth="1"/>
    <col min="11003" max="11003" width="17.85546875" style="18" bestFit="1" customWidth="1"/>
    <col min="11004" max="11004" width="12.85546875" style="18" customWidth="1"/>
    <col min="11005" max="11005" width="24" style="18" customWidth="1"/>
    <col min="11006" max="11006" width="13.42578125" style="18" bestFit="1" customWidth="1"/>
    <col min="11007" max="11007" width="13.85546875" style="18" customWidth="1"/>
    <col min="11008" max="11008" width="13.140625" style="18" customWidth="1"/>
    <col min="11009" max="11009" width="22.42578125" style="18" customWidth="1"/>
    <col min="11010" max="11010" width="18.42578125" style="18" customWidth="1"/>
    <col min="11011" max="11011" width="22" style="18" customWidth="1"/>
    <col min="11012" max="11012" width="21.28515625" style="18" customWidth="1"/>
    <col min="11013" max="11013" width="23" style="18" customWidth="1"/>
    <col min="11014" max="11256" width="9.140625" style="18"/>
    <col min="11257" max="11257" width="6.85546875" style="18" customWidth="1"/>
    <col min="11258" max="11258" width="7" style="18" customWidth="1"/>
    <col min="11259" max="11259" width="17.85546875" style="18" bestFit="1" customWidth="1"/>
    <col min="11260" max="11260" width="12.85546875" style="18" customWidth="1"/>
    <col min="11261" max="11261" width="24" style="18" customWidth="1"/>
    <col min="11262" max="11262" width="13.42578125" style="18" bestFit="1" customWidth="1"/>
    <col min="11263" max="11263" width="13.85546875" style="18" customWidth="1"/>
    <col min="11264" max="11264" width="13.140625" style="18" customWidth="1"/>
    <col min="11265" max="11265" width="22.42578125" style="18" customWidth="1"/>
    <col min="11266" max="11266" width="18.42578125" style="18" customWidth="1"/>
    <col min="11267" max="11267" width="22" style="18" customWidth="1"/>
    <col min="11268" max="11268" width="21.28515625" style="18" customWidth="1"/>
    <col min="11269" max="11269" width="23" style="18" customWidth="1"/>
    <col min="11270" max="11512" width="9.140625" style="18"/>
    <col min="11513" max="11513" width="6.85546875" style="18" customWidth="1"/>
    <col min="11514" max="11514" width="7" style="18" customWidth="1"/>
    <col min="11515" max="11515" width="17.85546875" style="18" bestFit="1" customWidth="1"/>
    <col min="11516" max="11516" width="12.85546875" style="18" customWidth="1"/>
    <col min="11517" max="11517" width="24" style="18" customWidth="1"/>
    <col min="11518" max="11518" width="13.42578125" style="18" bestFit="1" customWidth="1"/>
    <col min="11519" max="11519" width="13.85546875" style="18" customWidth="1"/>
    <col min="11520" max="11520" width="13.140625" style="18" customWidth="1"/>
    <col min="11521" max="11521" width="22.42578125" style="18" customWidth="1"/>
    <col min="11522" max="11522" width="18.42578125" style="18" customWidth="1"/>
    <col min="11523" max="11523" width="22" style="18" customWidth="1"/>
    <col min="11524" max="11524" width="21.28515625" style="18" customWidth="1"/>
    <col min="11525" max="11525" width="23" style="18" customWidth="1"/>
    <col min="11526" max="11768" width="9.140625" style="18"/>
    <col min="11769" max="11769" width="6.85546875" style="18" customWidth="1"/>
    <col min="11770" max="11770" width="7" style="18" customWidth="1"/>
    <col min="11771" max="11771" width="17.85546875" style="18" bestFit="1" customWidth="1"/>
    <col min="11772" max="11772" width="12.85546875" style="18" customWidth="1"/>
    <col min="11773" max="11773" width="24" style="18" customWidth="1"/>
    <col min="11774" max="11774" width="13.42578125" style="18" bestFit="1" customWidth="1"/>
    <col min="11775" max="11775" width="13.85546875" style="18" customWidth="1"/>
    <col min="11776" max="11776" width="13.140625" style="18" customWidth="1"/>
    <col min="11777" max="11777" width="22.42578125" style="18" customWidth="1"/>
    <col min="11778" max="11778" width="18.42578125" style="18" customWidth="1"/>
    <col min="11779" max="11779" width="22" style="18" customWidth="1"/>
    <col min="11780" max="11780" width="21.28515625" style="18" customWidth="1"/>
    <col min="11781" max="11781" width="23" style="18" customWidth="1"/>
    <col min="11782" max="12024" width="9.140625" style="18"/>
    <col min="12025" max="12025" width="6.85546875" style="18" customWidth="1"/>
    <col min="12026" max="12026" width="7" style="18" customWidth="1"/>
    <col min="12027" max="12027" width="17.85546875" style="18" bestFit="1" customWidth="1"/>
    <col min="12028" max="12028" width="12.85546875" style="18" customWidth="1"/>
    <col min="12029" max="12029" width="24" style="18" customWidth="1"/>
    <col min="12030" max="12030" width="13.42578125" style="18" bestFit="1" customWidth="1"/>
    <col min="12031" max="12031" width="13.85546875" style="18" customWidth="1"/>
    <col min="12032" max="12032" width="13.140625" style="18" customWidth="1"/>
    <col min="12033" max="12033" width="22.42578125" style="18" customWidth="1"/>
    <col min="12034" max="12034" width="18.42578125" style="18" customWidth="1"/>
    <col min="12035" max="12035" width="22" style="18" customWidth="1"/>
    <col min="12036" max="12036" width="21.28515625" style="18" customWidth="1"/>
    <col min="12037" max="12037" width="23" style="18" customWidth="1"/>
    <col min="12038" max="12280" width="9.140625" style="18"/>
    <col min="12281" max="12281" width="6.85546875" style="18" customWidth="1"/>
    <col min="12282" max="12282" width="7" style="18" customWidth="1"/>
    <col min="12283" max="12283" width="17.85546875" style="18" bestFit="1" customWidth="1"/>
    <col min="12284" max="12284" width="12.85546875" style="18" customWidth="1"/>
    <col min="12285" max="12285" width="24" style="18" customWidth="1"/>
    <col min="12286" max="12286" width="13.42578125" style="18" bestFit="1" customWidth="1"/>
    <col min="12287" max="12287" width="13.85546875" style="18" customWidth="1"/>
    <col min="12288" max="12288" width="13.140625" style="18" customWidth="1"/>
    <col min="12289" max="12289" width="22.42578125" style="18" customWidth="1"/>
    <col min="12290" max="12290" width="18.42578125" style="18" customWidth="1"/>
    <col min="12291" max="12291" width="22" style="18" customWidth="1"/>
    <col min="12292" max="12292" width="21.28515625" style="18" customWidth="1"/>
    <col min="12293" max="12293" width="23" style="18" customWidth="1"/>
    <col min="12294" max="12536" width="9.140625" style="18"/>
    <col min="12537" max="12537" width="6.85546875" style="18" customWidth="1"/>
    <col min="12538" max="12538" width="7" style="18" customWidth="1"/>
    <col min="12539" max="12539" width="17.85546875" style="18" bestFit="1" customWidth="1"/>
    <col min="12540" max="12540" width="12.85546875" style="18" customWidth="1"/>
    <col min="12541" max="12541" width="24" style="18" customWidth="1"/>
    <col min="12542" max="12542" width="13.42578125" style="18" bestFit="1" customWidth="1"/>
    <col min="12543" max="12543" width="13.85546875" style="18" customWidth="1"/>
    <col min="12544" max="12544" width="13.140625" style="18" customWidth="1"/>
    <col min="12545" max="12545" width="22.42578125" style="18" customWidth="1"/>
    <col min="12546" max="12546" width="18.42578125" style="18" customWidth="1"/>
    <col min="12547" max="12547" width="22" style="18" customWidth="1"/>
    <col min="12548" max="12548" width="21.28515625" style="18" customWidth="1"/>
    <col min="12549" max="12549" width="23" style="18" customWidth="1"/>
    <col min="12550" max="12792" width="9.140625" style="18"/>
    <col min="12793" max="12793" width="6.85546875" style="18" customWidth="1"/>
    <col min="12794" max="12794" width="7" style="18" customWidth="1"/>
    <col min="12795" max="12795" width="17.85546875" style="18" bestFit="1" customWidth="1"/>
    <col min="12796" max="12796" width="12.85546875" style="18" customWidth="1"/>
    <col min="12797" max="12797" width="24" style="18" customWidth="1"/>
    <col min="12798" max="12798" width="13.42578125" style="18" bestFit="1" customWidth="1"/>
    <col min="12799" max="12799" width="13.85546875" style="18" customWidth="1"/>
    <col min="12800" max="12800" width="13.140625" style="18" customWidth="1"/>
    <col min="12801" max="12801" width="22.42578125" style="18" customWidth="1"/>
    <col min="12802" max="12802" width="18.42578125" style="18" customWidth="1"/>
    <col min="12803" max="12803" width="22" style="18" customWidth="1"/>
    <col min="12804" max="12804" width="21.28515625" style="18" customWidth="1"/>
    <col min="12805" max="12805" width="23" style="18" customWidth="1"/>
    <col min="12806" max="13048" width="9.140625" style="18"/>
    <col min="13049" max="13049" width="6.85546875" style="18" customWidth="1"/>
    <col min="13050" max="13050" width="7" style="18" customWidth="1"/>
    <col min="13051" max="13051" width="17.85546875" style="18" bestFit="1" customWidth="1"/>
    <col min="13052" max="13052" width="12.85546875" style="18" customWidth="1"/>
    <col min="13053" max="13053" width="24" style="18" customWidth="1"/>
    <col min="13054" max="13054" width="13.42578125" style="18" bestFit="1" customWidth="1"/>
    <col min="13055" max="13055" width="13.85546875" style="18" customWidth="1"/>
    <col min="13056" max="13056" width="13.140625" style="18" customWidth="1"/>
    <col min="13057" max="13057" width="22.42578125" style="18" customWidth="1"/>
    <col min="13058" max="13058" width="18.42578125" style="18" customWidth="1"/>
    <col min="13059" max="13059" width="22" style="18" customWidth="1"/>
    <col min="13060" max="13060" width="21.28515625" style="18" customWidth="1"/>
    <col min="13061" max="13061" width="23" style="18" customWidth="1"/>
    <col min="13062" max="13304" width="9.140625" style="18"/>
    <col min="13305" max="13305" width="6.85546875" style="18" customWidth="1"/>
    <col min="13306" max="13306" width="7" style="18" customWidth="1"/>
    <col min="13307" max="13307" width="17.85546875" style="18" bestFit="1" customWidth="1"/>
    <col min="13308" max="13308" width="12.85546875" style="18" customWidth="1"/>
    <col min="13309" max="13309" width="24" style="18" customWidth="1"/>
    <col min="13310" max="13310" width="13.42578125" style="18" bestFit="1" customWidth="1"/>
    <col min="13311" max="13311" width="13.85546875" style="18" customWidth="1"/>
    <col min="13312" max="13312" width="13.140625" style="18" customWidth="1"/>
    <col min="13313" max="13313" width="22.42578125" style="18" customWidth="1"/>
    <col min="13314" max="13314" width="18.42578125" style="18" customWidth="1"/>
    <col min="13315" max="13315" width="22" style="18" customWidth="1"/>
    <col min="13316" max="13316" width="21.28515625" style="18" customWidth="1"/>
    <col min="13317" max="13317" width="23" style="18" customWidth="1"/>
    <col min="13318" max="13560" width="9.140625" style="18"/>
    <col min="13561" max="13561" width="6.85546875" style="18" customWidth="1"/>
    <col min="13562" max="13562" width="7" style="18" customWidth="1"/>
    <col min="13563" max="13563" width="17.85546875" style="18" bestFit="1" customWidth="1"/>
    <col min="13564" max="13564" width="12.85546875" style="18" customWidth="1"/>
    <col min="13565" max="13565" width="24" style="18" customWidth="1"/>
    <col min="13566" max="13566" width="13.42578125" style="18" bestFit="1" customWidth="1"/>
    <col min="13567" max="13567" width="13.85546875" style="18" customWidth="1"/>
    <col min="13568" max="13568" width="13.140625" style="18" customWidth="1"/>
    <col min="13569" max="13569" width="22.42578125" style="18" customWidth="1"/>
    <col min="13570" max="13570" width="18.42578125" style="18" customWidth="1"/>
    <col min="13571" max="13571" width="22" style="18" customWidth="1"/>
    <col min="13572" max="13572" width="21.28515625" style="18" customWidth="1"/>
    <col min="13573" max="13573" width="23" style="18" customWidth="1"/>
    <col min="13574" max="13816" width="9.140625" style="18"/>
    <col min="13817" max="13817" width="6.85546875" style="18" customWidth="1"/>
    <col min="13818" max="13818" width="7" style="18" customWidth="1"/>
    <col min="13819" max="13819" width="17.85546875" style="18" bestFit="1" customWidth="1"/>
    <col min="13820" max="13820" width="12.85546875" style="18" customWidth="1"/>
    <col min="13821" max="13821" width="24" style="18" customWidth="1"/>
    <col min="13822" max="13822" width="13.42578125" style="18" bestFit="1" customWidth="1"/>
    <col min="13823" max="13823" width="13.85546875" style="18" customWidth="1"/>
    <col min="13824" max="13824" width="13.140625" style="18" customWidth="1"/>
    <col min="13825" max="13825" width="22.42578125" style="18" customWidth="1"/>
    <col min="13826" max="13826" width="18.42578125" style="18" customWidth="1"/>
    <col min="13827" max="13827" width="22" style="18" customWidth="1"/>
    <col min="13828" max="13828" width="21.28515625" style="18" customWidth="1"/>
    <col min="13829" max="13829" width="23" style="18" customWidth="1"/>
    <col min="13830" max="14072" width="9.140625" style="18"/>
    <col min="14073" max="14073" width="6.85546875" style="18" customWidth="1"/>
    <col min="14074" max="14074" width="7" style="18" customWidth="1"/>
    <col min="14075" max="14075" width="17.85546875" style="18" bestFit="1" customWidth="1"/>
    <col min="14076" max="14076" width="12.85546875" style="18" customWidth="1"/>
    <col min="14077" max="14077" width="24" style="18" customWidth="1"/>
    <col min="14078" max="14078" width="13.42578125" style="18" bestFit="1" customWidth="1"/>
    <col min="14079" max="14079" width="13.85546875" style="18" customWidth="1"/>
    <col min="14080" max="14080" width="13.140625" style="18" customWidth="1"/>
    <col min="14081" max="14081" width="22.42578125" style="18" customWidth="1"/>
    <col min="14082" max="14082" width="18.42578125" style="18" customWidth="1"/>
    <col min="14083" max="14083" width="22" style="18" customWidth="1"/>
    <col min="14084" max="14084" width="21.28515625" style="18" customWidth="1"/>
    <col min="14085" max="14085" width="23" style="18" customWidth="1"/>
    <col min="14086" max="14328" width="9.140625" style="18"/>
    <col min="14329" max="14329" width="6.85546875" style="18" customWidth="1"/>
    <col min="14330" max="14330" width="7" style="18" customWidth="1"/>
    <col min="14331" max="14331" width="17.85546875" style="18" bestFit="1" customWidth="1"/>
    <col min="14332" max="14332" width="12.85546875" style="18" customWidth="1"/>
    <col min="14333" max="14333" width="24" style="18" customWidth="1"/>
    <col min="14334" max="14334" width="13.42578125" style="18" bestFit="1" customWidth="1"/>
    <col min="14335" max="14335" width="13.85546875" style="18" customWidth="1"/>
    <col min="14336" max="14336" width="13.140625" style="18" customWidth="1"/>
    <col min="14337" max="14337" width="22.42578125" style="18" customWidth="1"/>
    <col min="14338" max="14338" width="18.42578125" style="18" customWidth="1"/>
    <col min="14339" max="14339" width="22" style="18" customWidth="1"/>
    <col min="14340" max="14340" width="21.28515625" style="18" customWidth="1"/>
    <col min="14341" max="14341" width="23" style="18" customWidth="1"/>
    <col min="14342" max="14584" width="9.140625" style="18"/>
    <col min="14585" max="14585" width="6.85546875" style="18" customWidth="1"/>
    <col min="14586" max="14586" width="7" style="18" customWidth="1"/>
    <col min="14587" max="14587" width="17.85546875" style="18" bestFit="1" customWidth="1"/>
    <col min="14588" max="14588" width="12.85546875" style="18" customWidth="1"/>
    <col min="14589" max="14589" width="24" style="18" customWidth="1"/>
    <col min="14590" max="14590" width="13.42578125" style="18" bestFit="1" customWidth="1"/>
    <col min="14591" max="14591" width="13.85546875" style="18" customWidth="1"/>
    <col min="14592" max="14592" width="13.140625" style="18" customWidth="1"/>
    <col min="14593" max="14593" width="22.42578125" style="18" customWidth="1"/>
    <col min="14594" max="14594" width="18.42578125" style="18" customWidth="1"/>
    <col min="14595" max="14595" width="22" style="18" customWidth="1"/>
    <col min="14596" max="14596" width="21.28515625" style="18" customWidth="1"/>
    <col min="14597" max="14597" width="23" style="18" customWidth="1"/>
    <col min="14598" max="14840" width="9.140625" style="18"/>
    <col min="14841" max="14841" width="6.85546875" style="18" customWidth="1"/>
    <col min="14842" max="14842" width="7" style="18" customWidth="1"/>
    <col min="14843" max="14843" width="17.85546875" style="18" bestFit="1" customWidth="1"/>
    <col min="14844" max="14844" width="12.85546875" style="18" customWidth="1"/>
    <col min="14845" max="14845" width="24" style="18" customWidth="1"/>
    <col min="14846" max="14846" width="13.42578125" style="18" bestFit="1" customWidth="1"/>
    <col min="14847" max="14847" width="13.85546875" style="18" customWidth="1"/>
    <col min="14848" max="14848" width="13.140625" style="18" customWidth="1"/>
    <col min="14849" max="14849" width="22.42578125" style="18" customWidth="1"/>
    <col min="14850" max="14850" width="18.42578125" style="18" customWidth="1"/>
    <col min="14851" max="14851" width="22" style="18" customWidth="1"/>
    <col min="14852" max="14852" width="21.28515625" style="18" customWidth="1"/>
    <col min="14853" max="14853" width="23" style="18" customWidth="1"/>
    <col min="14854" max="15096" width="9.140625" style="18"/>
    <col min="15097" max="15097" width="6.85546875" style="18" customWidth="1"/>
    <col min="15098" max="15098" width="7" style="18" customWidth="1"/>
    <col min="15099" max="15099" width="17.85546875" style="18" bestFit="1" customWidth="1"/>
    <col min="15100" max="15100" width="12.85546875" style="18" customWidth="1"/>
    <col min="15101" max="15101" width="24" style="18" customWidth="1"/>
    <col min="15102" max="15102" width="13.42578125" style="18" bestFit="1" customWidth="1"/>
    <col min="15103" max="15103" width="13.85546875" style="18" customWidth="1"/>
    <col min="15104" max="15104" width="13.140625" style="18" customWidth="1"/>
    <col min="15105" max="15105" width="22.42578125" style="18" customWidth="1"/>
    <col min="15106" max="15106" width="18.42578125" style="18" customWidth="1"/>
    <col min="15107" max="15107" width="22" style="18" customWidth="1"/>
    <col min="15108" max="15108" width="21.28515625" style="18" customWidth="1"/>
    <col min="15109" max="15109" width="23" style="18" customWidth="1"/>
    <col min="15110" max="15352" width="9.140625" style="18"/>
    <col min="15353" max="15353" width="6.85546875" style="18" customWidth="1"/>
    <col min="15354" max="15354" width="7" style="18" customWidth="1"/>
    <col min="15355" max="15355" width="17.85546875" style="18" bestFit="1" customWidth="1"/>
    <col min="15356" max="15356" width="12.85546875" style="18" customWidth="1"/>
    <col min="15357" max="15357" width="24" style="18" customWidth="1"/>
    <col min="15358" max="15358" width="13.42578125" style="18" bestFit="1" customWidth="1"/>
    <col min="15359" max="15359" width="13.85546875" style="18" customWidth="1"/>
    <col min="15360" max="15360" width="13.140625" style="18" customWidth="1"/>
    <col min="15361" max="15361" width="22.42578125" style="18" customWidth="1"/>
    <col min="15362" max="15362" width="18.42578125" style="18" customWidth="1"/>
    <col min="15363" max="15363" width="22" style="18" customWidth="1"/>
    <col min="15364" max="15364" width="21.28515625" style="18" customWidth="1"/>
    <col min="15365" max="15365" width="23" style="18" customWidth="1"/>
    <col min="15366" max="15608" width="9.140625" style="18"/>
    <col min="15609" max="15609" width="6.85546875" style="18" customWidth="1"/>
    <col min="15610" max="15610" width="7" style="18" customWidth="1"/>
    <col min="15611" max="15611" width="17.85546875" style="18" bestFit="1" customWidth="1"/>
    <col min="15612" max="15612" width="12.85546875" style="18" customWidth="1"/>
    <col min="15613" max="15613" width="24" style="18" customWidth="1"/>
    <col min="15614" max="15614" width="13.42578125" style="18" bestFit="1" customWidth="1"/>
    <col min="15615" max="15615" width="13.85546875" style="18" customWidth="1"/>
    <col min="15616" max="15616" width="13.140625" style="18" customWidth="1"/>
    <col min="15617" max="15617" width="22.42578125" style="18" customWidth="1"/>
    <col min="15618" max="15618" width="18.42578125" style="18" customWidth="1"/>
    <col min="15619" max="15619" width="22" style="18" customWidth="1"/>
    <col min="15620" max="15620" width="21.28515625" style="18" customWidth="1"/>
    <col min="15621" max="15621" width="23" style="18" customWidth="1"/>
    <col min="15622" max="15864" width="9.140625" style="18"/>
    <col min="15865" max="15865" width="6.85546875" style="18" customWidth="1"/>
    <col min="15866" max="15866" width="7" style="18" customWidth="1"/>
    <col min="15867" max="15867" width="17.85546875" style="18" bestFit="1" customWidth="1"/>
    <col min="15868" max="15868" width="12.85546875" style="18" customWidth="1"/>
    <col min="15869" max="15869" width="24" style="18" customWidth="1"/>
    <col min="15870" max="15870" width="13.42578125" style="18" bestFit="1" customWidth="1"/>
    <col min="15871" max="15871" width="13.85546875" style="18" customWidth="1"/>
    <col min="15872" max="15872" width="13.140625" style="18" customWidth="1"/>
    <col min="15873" max="15873" width="22.42578125" style="18" customWidth="1"/>
    <col min="15874" max="15874" width="18.42578125" style="18" customWidth="1"/>
    <col min="15875" max="15875" width="22" style="18" customWidth="1"/>
    <col min="15876" max="15876" width="21.28515625" style="18" customWidth="1"/>
    <col min="15877" max="15877" width="23" style="18" customWidth="1"/>
    <col min="15878" max="16120" width="9.140625" style="18"/>
    <col min="16121" max="16121" width="6.85546875" style="18" customWidth="1"/>
    <col min="16122" max="16122" width="7" style="18" customWidth="1"/>
    <col min="16123" max="16123" width="17.85546875" style="18" bestFit="1" customWidth="1"/>
    <col min="16124" max="16124" width="12.85546875" style="18" customWidth="1"/>
    <col min="16125" max="16125" width="24" style="18" customWidth="1"/>
    <col min="16126" max="16126" width="13.42578125" style="18" bestFit="1" customWidth="1"/>
    <col min="16127" max="16127" width="13.85546875" style="18" customWidth="1"/>
    <col min="16128" max="16128" width="13.140625" style="18" customWidth="1"/>
    <col min="16129" max="16129" width="22.42578125" style="18" customWidth="1"/>
    <col min="16130" max="16130" width="18.42578125" style="18" customWidth="1"/>
    <col min="16131" max="16131" width="22" style="18" customWidth="1"/>
    <col min="16132" max="16132" width="21.28515625" style="18" customWidth="1"/>
    <col min="16133" max="16133" width="23" style="18" customWidth="1"/>
    <col min="16134" max="16384" width="9.140625" style="18"/>
  </cols>
  <sheetData>
    <row r="2" spans="1:13">
      <c r="C2" s="742" t="s">
        <v>906</v>
      </c>
      <c r="D2" s="54"/>
      <c r="F2" s="101"/>
    </row>
    <row r="3" spans="1:13">
      <c r="C3" s="373" t="s">
        <v>722</v>
      </c>
      <c r="D3" s="54"/>
      <c r="F3" s="101"/>
    </row>
    <row r="4" spans="1:13">
      <c r="C4" s="355" t="s">
        <v>622</v>
      </c>
      <c r="D4" s="54"/>
      <c r="F4" s="101"/>
    </row>
    <row r="5" spans="1:13">
      <c r="B5" s="37"/>
      <c r="C5" s="37"/>
      <c r="D5" s="37"/>
      <c r="E5" s="156"/>
      <c r="F5" s="20"/>
      <c r="G5" s="20"/>
    </row>
    <row r="6" spans="1:13" s="354" customFormat="1" ht="13.9" customHeight="1">
      <c r="A6" s="1376" t="s">
        <v>157</v>
      </c>
      <c r="B6" s="1376" t="s">
        <v>49</v>
      </c>
      <c r="C6" s="1376" t="s">
        <v>641</v>
      </c>
      <c r="D6" s="1380" t="s">
        <v>38</v>
      </c>
      <c r="E6" s="1381"/>
      <c r="F6" s="1380" t="s">
        <v>146</v>
      </c>
      <c r="G6" s="1381"/>
      <c r="H6" s="1380" t="s">
        <v>147</v>
      </c>
      <c r="I6" s="1381"/>
      <c r="J6" s="1380" t="s">
        <v>148</v>
      </c>
      <c r="K6" s="1382"/>
      <c r="L6" s="1365" t="s">
        <v>149</v>
      </c>
      <c r="M6" s="1365"/>
    </row>
    <row r="7" spans="1:13" s="354" customFormat="1" ht="39.75" customHeight="1">
      <c r="A7" s="1376"/>
      <c r="B7" s="1376"/>
      <c r="C7" s="1376"/>
      <c r="D7" s="409" t="s">
        <v>413</v>
      </c>
      <c r="E7" s="369" t="s">
        <v>414</v>
      </c>
      <c r="F7" s="369" t="s">
        <v>413</v>
      </c>
      <c r="G7" s="369" t="s">
        <v>672</v>
      </c>
      <c r="H7" s="369" t="s">
        <v>413</v>
      </c>
      <c r="I7" s="369" t="s">
        <v>1310</v>
      </c>
      <c r="J7" s="369" t="s">
        <v>413</v>
      </c>
      <c r="K7" s="368" t="s">
        <v>689</v>
      </c>
      <c r="L7" s="790" t="s">
        <v>413</v>
      </c>
      <c r="M7" s="790" t="s">
        <v>689</v>
      </c>
    </row>
    <row r="8" spans="1:13">
      <c r="A8" s="93">
        <v>1</v>
      </c>
      <c r="B8" s="349" t="s">
        <v>652</v>
      </c>
      <c r="C8" s="350"/>
      <c r="D8" s="465"/>
      <c r="E8" s="465"/>
      <c r="F8" s="465">
        <v>0</v>
      </c>
      <c r="G8" s="465"/>
      <c r="H8" s="465"/>
      <c r="I8" s="465"/>
      <c r="J8" s="465"/>
      <c r="K8" s="466"/>
      <c r="L8" s="465"/>
      <c r="M8" s="466"/>
    </row>
    <row r="9" spans="1:13">
      <c r="A9" s="92">
        <v>1.1000000000000001</v>
      </c>
      <c r="B9" s="350" t="s">
        <v>808</v>
      </c>
      <c r="C9" s="703" t="s">
        <v>302</v>
      </c>
      <c r="D9" s="746">
        <v>19.6462</v>
      </c>
      <c r="E9" s="746">
        <f>'F2.1'!Q24</f>
        <v>19.6462</v>
      </c>
      <c r="F9" s="746">
        <v>0</v>
      </c>
      <c r="G9" s="746">
        <v>0</v>
      </c>
      <c r="H9" s="746">
        <v>0</v>
      </c>
      <c r="I9" s="746">
        <v>0</v>
      </c>
      <c r="J9" s="465">
        <v>0</v>
      </c>
      <c r="K9" s="466"/>
      <c r="L9" s="465">
        <v>0</v>
      </c>
      <c r="M9" s="466"/>
    </row>
    <row r="10" spans="1:13">
      <c r="A10" s="92">
        <v>1.2</v>
      </c>
      <c r="B10" s="350" t="s">
        <v>1305</v>
      </c>
      <c r="C10" s="703" t="s">
        <v>302</v>
      </c>
      <c r="D10" s="746">
        <v>6.7279999999999998</v>
      </c>
      <c r="E10" s="746">
        <f>'F2.1'!Q29</f>
        <v>7.1457186666113017</v>
      </c>
      <c r="F10" s="746">
        <v>0</v>
      </c>
      <c r="G10" s="746">
        <v>0</v>
      </c>
      <c r="H10" s="746">
        <v>0</v>
      </c>
      <c r="I10" s="746">
        <f>0</f>
        <v>0</v>
      </c>
      <c r="J10" s="465">
        <v>0</v>
      </c>
      <c r="K10" s="466">
        <v>0</v>
      </c>
      <c r="L10" s="465">
        <v>0</v>
      </c>
      <c r="M10" s="466">
        <v>0</v>
      </c>
    </row>
    <row r="11" spans="1:13">
      <c r="A11" s="92">
        <v>1.3</v>
      </c>
      <c r="B11" s="350" t="s">
        <v>799</v>
      </c>
      <c r="C11" s="703" t="s">
        <v>302</v>
      </c>
      <c r="D11" s="746">
        <v>14.091839999999999</v>
      </c>
      <c r="E11" s="746">
        <f>'F2.1'!Q33</f>
        <v>14.979839999999999</v>
      </c>
      <c r="F11" s="746">
        <v>20.82</v>
      </c>
      <c r="G11" s="746">
        <f>+'F2.1'!Q55</f>
        <v>23.906959999999998</v>
      </c>
      <c r="H11" s="746">
        <v>0</v>
      </c>
      <c r="I11" s="746">
        <v>0</v>
      </c>
      <c r="J11" s="465">
        <v>0</v>
      </c>
      <c r="K11" s="466">
        <v>0</v>
      </c>
      <c r="L11" s="465">
        <v>0</v>
      </c>
      <c r="M11" s="466">
        <v>0</v>
      </c>
    </row>
    <row r="12" spans="1:13">
      <c r="A12" s="92">
        <v>1.4</v>
      </c>
      <c r="B12" s="106" t="s">
        <v>1010</v>
      </c>
      <c r="C12" s="703"/>
      <c r="D12" s="746"/>
      <c r="E12" s="746"/>
      <c r="F12" s="746">
        <v>55.9</v>
      </c>
      <c r="G12" s="746">
        <f>+'F2.1'!Q59</f>
        <v>62.656777596940358</v>
      </c>
      <c r="H12" s="746">
        <v>74.459999999999994</v>
      </c>
      <c r="I12" s="746">
        <f>+'F2.1'!Q79</f>
        <v>77.508804478127061</v>
      </c>
      <c r="J12" s="465">
        <v>74.459999999999994</v>
      </c>
      <c r="K12" s="466">
        <f>+'F2.1'!Q99</f>
        <v>74.45999999999998</v>
      </c>
      <c r="L12" s="465">
        <v>74.459999999999994</v>
      </c>
      <c r="M12" s="466">
        <f>+'F2.1'!Q119</f>
        <v>74.663999999999987</v>
      </c>
    </row>
    <row r="13" spans="1:13">
      <c r="A13" s="92">
        <v>1.5</v>
      </c>
      <c r="B13" s="106" t="s">
        <v>813</v>
      </c>
      <c r="C13" s="703"/>
      <c r="D13" s="746"/>
      <c r="E13" s="746"/>
      <c r="F13" s="746">
        <v>25.25</v>
      </c>
      <c r="G13" s="746">
        <f>+'F2.1'!Q60</f>
        <v>18.988875999999998</v>
      </c>
      <c r="H13" s="746">
        <v>33.659999999999997</v>
      </c>
      <c r="I13" s="746">
        <f>+'F2.1'!Q80</f>
        <v>27.900903000000003</v>
      </c>
      <c r="J13" s="465">
        <v>33.659999999999997</v>
      </c>
      <c r="K13" s="466">
        <f>+'F2.1'!Q100</f>
        <v>34.297500000000007</v>
      </c>
      <c r="L13" s="465">
        <v>33.659999999999997</v>
      </c>
      <c r="M13" s="466">
        <f>+'F2.1'!Q120</f>
        <v>34.425000000000004</v>
      </c>
    </row>
    <row r="14" spans="1:13" s="27" customFormat="1" ht="14.25">
      <c r="A14" s="93"/>
      <c r="B14" s="352" t="s">
        <v>642</v>
      </c>
      <c r="C14" s="1152" t="s">
        <v>302</v>
      </c>
      <c r="D14" s="1153">
        <f>SUM(D9:D11)</f>
        <v>40.46604</v>
      </c>
      <c r="E14" s="1153">
        <f>SUM(E9:E11)</f>
        <v>41.771758666611305</v>
      </c>
      <c r="F14" s="1153">
        <f>SUM(F9:F13)</f>
        <v>101.97</v>
      </c>
      <c r="G14" s="1153">
        <f>SUM(G9:G13)</f>
        <v>105.55261359694035</v>
      </c>
      <c r="H14" s="1153">
        <f t="shared" ref="H14:M14" si="0">SUM(H9:H13)</f>
        <v>108.11999999999999</v>
      </c>
      <c r="I14" s="1153">
        <f>SUM(I9:I13)</f>
        <v>105.40970747812706</v>
      </c>
      <c r="J14" s="467">
        <f t="shared" si="0"/>
        <v>108.11999999999999</v>
      </c>
      <c r="K14" s="467">
        <f t="shared" si="0"/>
        <v>108.75749999999999</v>
      </c>
      <c r="L14" s="467">
        <f t="shared" si="0"/>
        <v>108.11999999999999</v>
      </c>
      <c r="M14" s="467">
        <f t="shared" si="0"/>
        <v>109.089</v>
      </c>
    </row>
    <row r="15" spans="1:13">
      <c r="A15" s="92">
        <v>2</v>
      </c>
      <c r="B15" s="351" t="s">
        <v>643</v>
      </c>
      <c r="C15" s="703" t="s">
        <v>644</v>
      </c>
      <c r="D15" s="1154">
        <v>2.2800000000000001E-2</v>
      </c>
      <c r="E15" s="1154">
        <f>+E16/E14</f>
        <v>2.1002140266687241E-2</v>
      </c>
      <c r="F15" s="746">
        <v>0</v>
      </c>
      <c r="G15" s="746">
        <v>0</v>
      </c>
      <c r="H15" s="746">
        <v>0</v>
      </c>
      <c r="I15" s="746">
        <f>G15</f>
        <v>0</v>
      </c>
      <c r="J15" s="465">
        <v>0</v>
      </c>
      <c r="K15" s="466">
        <f>I15</f>
        <v>0</v>
      </c>
      <c r="L15" s="465">
        <v>0</v>
      </c>
      <c r="M15" s="466">
        <f>K15</f>
        <v>0</v>
      </c>
    </row>
    <row r="16" spans="1:13">
      <c r="A16" s="92">
        <v>2.1</v>
      </c>
      <c r="B16" s="351" t="s">
        <v>643</v>
      </c>
      <c r="C16" s="703" t="s">
        <v>302</v>
      </c>
      <c r="D16" s="746">
        <f>D14*D15</f>
        <v>0.92262571199999999</v>
      </c>
      <c r="E16" s="746">
        <f>+E14-E17</f>
        <v>0.877296334702379</v>
      </c>
      <c r="F16" s="746">
        <v>0</v>
      </c>
      <c r="G16" s="746">
        <f>+'F2.1'!Q55-'F2.1'!Q57</f>
        <v>0.54507868800000026</v>
      </c>
      <c r="H16" s="746">
        <v>0</v>
      </c>
      <c r="I16" s="746">
        <f>I15*I14</f>
        <v>0</v>
      </c>
      <c r="J16" s="465">
        <v>0</v>
      </c>
      <c r="K16" s="466">
        <f>K14*K15</f>
        <v>0</v>
      </c>
      <c r="L16" s="465">
        <v>0</v>
      </c>
      <c r="M16" s="466">
        <f>M14*M15</f>
        <v>0</v>
      </c>
    </row>
    <row r="17" spans="1:13">
      <c r="A17" s="93">
        <v>3</v>
      </c>
      <c r="B17" s="352" t="s">
        <v>653</v>
      </c>
      <c r="C17" s="1152" t="s">
        <v>302</v>
      </c>
      <c r="D17" s="1153">
        <f>D14-D16</f>
        <v>39.543414288000001</v>
      </c>
      <c r="E17" s="1153">
        <f>+'F2.1'!Q26+'F2.1'!Q31+'F2.1'!Q35</f>
        <v>40.894462331908926</v>
      </c>
      <c r="F17" s="1153">
        <v>0</v>
      </c>
      <c r="G17" s="1153">
        <f>G14-G16</f>
        <v>105.00753490894034</v>
      </c>
      <c r="H17" s="1153">
        <v>0</v>
      </c>
      <c r="I17" s="1153">
        <f>I14-I16</f>
        <v>105.40970747812706</v>
      </c>
      <c r="J17" s="467">
        <v>0</v>
      </c>
      <c r="K17" s="937">
        <f>K14-K16</f>
        <v>108.75749999999999</v>
      </c>
      <c r="L17" s="467">
        <v>0</v>
      </c>
      <c r="M17" s="937">
        <f>M14-M16</f>
        <v>109.089</v>
      </c>
    </row>
    <row r="18" spans="1:13">
      <c r="A18" s="93"/>
      <c r="B18" s="351"/>
      <c r="C18" s="703"/>
      <c r="D18" s="746"/>
      <c r="E18" s="746"/>
      <c r="F18" s="746"/>
      <c r="G18" s="746"/>
      <c r="H18" s="746">
        <v>0</v>
      </c>
      <c r="I18" s="746"/>
      <c r="J18" s="465">
        <v>0</v>
      </c>
      <c r="K18" s="466"/>
      <c r="L18" s="465">
        <v>0</v>
      </c>
      <c r="M18" s="466"/>
    </row>
    <row r="19" spans="1:13">
      <c r="A19" s="92">
        <v>4</v>
      </c>
      <c r="B19" s="352" t="s">
        <v>645</v>
      </c>
      <c r="C19" s="703"/>
      <c r="D19" s="746"/>
      <c r="E19" s="746"/>
      <c r="F19" s="746"/>
      <c r="G19" s="746"/>
      <c r="H19" s="746">
        <v>0</v>
      </c>
      <c r="I19" s="746"/>
      <c r="J19" s="465">
        <v>0</v>
      </c>
      <c r="K19" s="466"/>
      <c r="L19" s="465">
        <v>0</v>
      </c>
      <c r="M19" s="466"/>
    </row>
    <row r="20" spans="1:13">
      <c r="A20" s="92">
        <v>4.0999999999999996</v>
      </c>
      <c r="B20" s="351" t="s">
        <v>798</v>
      </c>
      <c r="C20" s="703" t="s">
        <v>302</v>
      </c>
      <c r="D20" s="746">
        <f>'F2'!G30</f>
        <v>43.89887689733601</v>
      </c>
      <c r="E20" s="746">
        <f>'F2.1'!Q27</f>
        <v>43.898510000000002</v>
      </c>
      <c r="F20" s="746"/>
      <c r="G20" s="746">
        <v>0</v>
      </c>
      <c r="H20" s="746">
        <v>0</v>
      </c>
      <c r="I20" s="746">
        <v>0</v>
      </c>
      <c r="J20" s="465">
        <v>0</v>
      </c>
      <c r="K20" s="466">
        <v>0</v>
      </c>
      <c r="L20" s="465">
        <v>0</v>
      </c>
      <c r="M20" s="466">
        <v>0</v>
      </c>
    </row>
    <row r="21" spans="1:13">
      <c r="A21" s="92"/>
      <c r="B21" s="351" t="s">
        <v>1005</v>
      </c>
      <c r="C21" s="703"/>
      <c r="D21" s="746">
        <v>0</v>
      </c>
      <c r="E21" s="746"/>
      <c r="F21" s="746"/>
      <c r="G21" s="746"/>
      <c r="H21" s="746"/>
      <c r="I21" s="746"/>
      <c r="J21" s="465"/>
      <c r="K21" s="466"/>
      <c r="L21" s="465"/>
      <c r="M21" s="466"/>
    </row>
    <row r="22" spans="1:13">
      <c r="A22" s="92"/>
      <c r="B22" s="351" t="s">
        <v>812</v>
      </c>
      <c r="C22" s="703" t="s">
        <v>302</v>
      </c>
      <c r="D22" s="746">
        <v>0</v>
      </c>
      <c r="E22" s="746">
        <f>'F2.1'!Q36</f>
        <v>0.3575365444854337</v>
      </c>
      <c r="F22" s="746">
        <v>0</v>
      </c>
      <c r="G22" s="746">
        <f>+'F2.1'!Q62</f>
        <v>-3.0873809023248562</v>
      </c>
      <c r="H22" s="746">
        <f ca="1">H25</f>
        <v>4.0671522535097751</v>
      </c>
      <c r="I22" s="746">
        <f>'F2.1'!Q82</f>
        <v>-2.6438002381021528</v>
      </c>
      <c r="J22" s="465">
        <v>9.59</v>
      </c>
      <c r="K22" s="466">
        <f>'F2.1'!Q102</f>
        <v>0</v>
      </c>
      <c r="L22" s="465">
        <v>14.97</v>
      </c>
      <c r="M22" s="466">
        <v>0</v>
      </c>
    </row>
    <row r="23" spans="1:13" s="27" customFormat="1" ht="14.25">
      <c r="A23" s="93" t="s">
        <v>646</v>
      </c>
      <c r="B23" s="352" t="s">
        <v>647</v>
      </c>
      <c r="C23" s="1152" t="s">
        <v>302</v>
      </c>
      <c r="D23" s="1153">
        <v>45.120286399425488</v>
      </c>
      <c r="E23" s="1153">
        <f>SUM(E20:E22)</f>
        <v>44.256046544485436</v>
      </c>
      <c r="F23" s="1153">
        <f t="shared" ref="F23:M23" si="1">SUM(F20:F22)</f>
        <v>0</v>
      </c>
      <c r="G23" s="1153">
        <f t="shared" si="1"/>
        <v>-3.0873809023248562</v>
      </c>
      <c r="H23" s="1153">
        <f t="shared" ca="1" si="1"/>
        <v>4.0671522535097751</v>
      </c>
      <c r="I23" s="1153">
        <f>SUM(I20:I22)</f>
        <v>-2.6438002381021528</v>
      </c>
      <c r="J23" s="467">
        <f t="shared" si="1"/>
        <v>9.59</v>
      </c>
      <c r="K23" s="467">
        <f t="shared" si="1"/>
        <v>0</v>
      </c>
      <c r="L23" s="467">
        <f t="shared" si="1"/>
        <v>14.97</v>
      </c>
      <c r="M23" s="467">
        <f t="shared" si="1"/>
        <v>0</v>
      </c>
    </row>
    <row r="24" spans="1:13">
      <c r="A24" s="92">
        <v>5</v>
      </c>
      <c r="B24" s="703" t="s">
        <v>648</v>
      </c>
      <c r="C24" s="703" t="s">
        <v>302</v>
      </c>
      <c r="D24" s="746">
        <v>85.138393039425495</v>
      </c>
      <c r="E24" s="746">
        <f>+E23+E17</f>
        <v>85.150508876394355</v>
      </c>
      <c r="F24" s="746">
        <f>F23+F14</f>
        <v>101.97</v>
      </c>
      <c r="G24" s="746">
        <f>G14+G23</f>
        <v>102.46523269461549</v>
      </c>
      <c r="H24" s="746">
        <f ca="1">H14+H23</f>
        <v>112.18715225350977</v>
      </c>
      <c r="I24" s="746">
        <f>I14+I23</f>
        <v>102.7659072400249</v>
      </c>
      <c r="J24" s="465">
        <f>J23+J14</f>
        <v>117.71</v>
      </c>
      <c r="K24" s="466">
        <f>K14+K23</f>
        <v>108.75749999999999</v>
      </c>
      <c r="L24" s="465">
        <f>L23+L14</f>
        <v>123.08999999999999</v>
      </c>
      <c r="M24" s="466">
        <f>M14+M23</f>
        <v>109.089</v>
      </c>
    </row>
    <row r="25" spans="1:13" s="27" customFormat="1" ht="14.25">
      <c r="A25" s="93">
        <v>6</v>
      </c>
      <c r="B25" s="349" t="s">
        <v>649</v>
      </c>
      <c r="C25" s="1152" t="s">
        <v>302</v>
      </c>
      <c r="D25" s="1153">
        <v>0</v>
      </c>
      <c r="E25" s="1153">
        <v>0</v>
      </c>
      <c r="F25" s="1153">
        <f>'F2'!G51</f>
        <v>-3.291547496464716</v>
      </c>
      <c r="G25" s="1153">
        <f>'F2.1'!Q61</f>
        <v>-15.222706282173426</v>
      </c>
      <c r="H25" s="1153">
        <f ca="1">H26-H24</f>
        <v>0</v>
      </c>
      <c r="I25" s="1153">
        <f>'F2.1'!Q81</f>
        <v>-15.717915337694832</v>
      </c>
      <c r="J25" s="467">
        <f>J26-J24</f>
        <v>-1.4621314315803602E-3</v>
      </c>
      <c r="K25" s="468">
        <f>'F2.1'!Q101</f>
        <v>-11.240477611401342</v>
      </c>
      <c r="L25" s="467">
        <f>L26-L24</f>
        <v>3.0401088725824366E-3</v>
      </c>
      <c r="M25" s="468">
        <f>'F2.1'!Q121</f>
        <v>-9.598963033559194</v>
      </c>
    </row>
    <row r="26" spans="1:13">
      <c r="A26" s="93">
        <v>7</v>
      </c>
      <c r="B26" s="349" t="s">
        <v>650</v>
      </c>
      <c r="C26" s="1152" t="s">
        <v>302</v>
      </c>
      <c r="D26" s="1153">
        <v>85.138393039425495</v>
      </c>
      <c r="E26" s="1153">
        <f>E17+E23+E25</f>
        <v>85.150508876394355</v>
      </c>
      <c r="F26" s="1153">
        <f>F17+F23+F25</f>
        <v>-3.291547496464716</v>
      </c>
      <c r="G26" s="1153">
        <f>G17+G23+G25</f>
        <v>86.697447724442071</v>
      </c>
      <c r="H26" s="1153">
        <f>H28</f>
        <v>112.18715225350977</v>
      </c>
      <c r="I26" s="1153">
        <f>I17+I23+I25</f>
        <v>87.047991902330068</v>
      </c>
      <c r="J26" s="467">
        <f>J28</f>
        <v>117.70853786856841</v>
      </c>
      <c r="K26" s="467">
        <f>K17+K23+K25</f>
        <v>97.517022388598647</v>
      </c>
      <c r="L26" s="467">
        <f>L28</f>
        <v>123.09304010887257</v>
      </c>
      <c r="M26" s="467">
        <f>M17+M23+M25</f>
        <v>99.490036966440812</v>
      </c>
    </row>
    <row r="27" spans="1:13">
      <c r="A27" s="93"/>
      <c r="B27" s="349"/>
      <c r="C27" s="1152"/>
      <c r="D27" s="1153"/>
      <c r="E27" s="746"/>
      <c r="F27" s="1153"/>
      <c r="G27" s="746"/>
      <c r="H27" s="1153"/>
      <c r="I27" s="746"/>
      <c r="J27" s="467"/>
      <c r="K27" s="466"/>
      <c r="L27" s="467"/>
      <c r="M27" s="466"/>
    </row>
    <row r="28" spans="1:13">
      <c r="A28" s="93"/>
      <c r="B28" s="349" t="s">
        <v>669</v>
      </c>
      <c r="C28" s="1152" t="s">
        <v>302</v>
      </c>
      <c r="D28" s="1153">
        <f>(D36/(1-D29))-0.01</f>
        <v>85.136789134054936</v>
      </c>
      <c r="E28" s="1153">
        <f>E36/(1-E29)</f>
        <v>85.146789134054941</v>
      </c>
      <c r="F28" s="1153">
        <f t="shared" ref="F28:L28" si="2">F36/(1-F29)</f>
        <v>98.669452503535297</v>
      </c>
      <c r="G28" s="1153">
        <f t="shared" si="2"/>
        <v>86.697447724442071</v>
      </c>
      <c r="H28" s="1153">
        <f t="shared" si="2"/>
        <v>112.18715225350977</v>
      </c>
      <c r="I28" s="1153">
        <f>I36/(1-I29)</f>
        <v>87.047991902330054</v>
      </c>
      <c r="J28" s="467">
        <f t="shared" si="2"/>
        <v>117.70853786856841</v>
      </c>
      <c r="K28" s="467">
        <f>K36/(1-K29)</f>
        <v>97.517022388598676</v>
      </c>
      <c r="L28" s="467">
        <f t="shared" si="2"/>
        <v>123.09304010887257</v>
      </c>
      <c r="M28" s="467">
        <f>M36/(1-M29)</f>
        <v>99.490036966440798</v>
      </c>
    </row>
    <row r="29" spans="1:13">
      <c r="A29" s="92">
        <v>8</v>
      </c>
      <c r="B29" s="350" t="s">
        <v>651</v>
      </c>
      <c r="C29" s="703" t="s">
        <v>644</v>
      </c>
      <c r="D29" s="1154">
        <v>3.9199999999999999E-2</v>
      </c>
      <c r="E29" s="1154">
        <v>3.9199999999999999E-2</v>
      </c>
      <c r="F29" s="1154">
        <v>3.9199999999999999E-2</v>
      </c>
      <c r="G29" s="1154">
        <f>'F2.1'!Q49</f>
        <v>3.6256519735538666E-2</v>
      </c>
      <c r="H29" s="1154">
        <v>3.9199999999999999E-2</v>
      </c>
      <c r="I29" s="1154">
        <f>'F2.1'!Q74</f>
        <v>3.3020772099547083E-2</v>
      </c>
      <c r="J29" s="702">
        <v>3.9199999999999999E-2</v>
      </c>
      <c r="K29" s="689">
        <f>+ASSUM!F58</f>
        <v>3.9199999999999999E-2</v>
      </c>
      <c r="L29" s="702">
        <v>3.9199999999999999E-2</v>
      </c>
      <c r="M29" s="689">
        <f>+ASSUM!G58</f>
        <v>3.9199999999999999E-2</v>
      </c>
    </row>
    <row r="30" spans="1:13">
      <c r="A30" s="92">
        <v>8.1</v>
      </c>
      <c r="B30" s="350" t="s">
        <v>651</v>
      </c>
      <c r="C30" s="703" t="s">
        <v>302</v>
      </c>
      <c r="D30" s="746">
        <f t="shared" ref="D30:M30" si="3">D28*D29</f>
        <v>3.3373621340549535</v>
      </c>
      <c r="E30" s="746">
        <f>E28*E29</f>
        <v>3.3377541340549537</v>
      </c>
      <c r="F30" s="746">
        <f t="shared" si="3"/>
        <v>3.8678425381385835</v>
      </c>
      <c r="G30" s="746">
        <f t="shared" si="3"/>
        <v>3.1433477244420658</v>
      </c>
      <c r="H30" s="746">
        <f t="shared" si="3"/>
        <v>4.3977363683375827</v>
      </c>
      <c r="I30" s="746">
        <f>I28*I29</f>
        <v>2.8743919023300606</v>
      </c>
      <c r="J30" s="465">
        <f t="shared" si="3"/>
        <v>4.6141746844478817</v>
      </c>
      <c r="K30" s="466">
        <f t="shared" si="3"/>
        <v>3.8226672776330681</v>
      </c>
      <c r="L30" s="465">
        <f t="shared" si="3"/>
        <v>4.8252471722678045</v>
      </c>
      <c r="M30" s="465">
        <f t="shared" si="3"/>
        <v>3.9000094490844792</v>
      </c>
    </row>
    <row r="31" spans="1:13">
      <c r="A31" s="92">
        <v>9</v>
      </c>
      <c r="B31" s="350" t="s">
        <v>981</v>
      </c>
      <c r="C31" s="703" t="s">
        <v>302</v>
      </c>
      <c r="D31" s="746"/>
      <c r="E31" s="746"/>
      <c r="F31" s="746"/>
      <c r="G31" s="746"/>
      <c r="H31" s="746"/>
      <c r="I31" s="746"/>
      <c r="J31" s="465"/>
      <c r="K31" s="466"/>
      <c r="L31" s="465"/>
      <c r="M31" s="465"/>
    </row>
    <row r="32" spans="1:13">
      <c r="A32" s="92">
        <f>A31+1</f>
        <v>10</v>
      </c>
      <c r="B32" s="350" t="s">
        <v>664</v>
      </c>
      <c r="C32" s="703" t="s">
        <v>302</v>
      </c>
      <c r="D32" s="746">
        <v>0</v>
      </c>
      <c r="E32" s="746">
        <v>0</v>
      </c>
      <c r="F32" s="746">
        <v>0</v>
      </c>
      <c r="G32" s="746">
        <v>0</v>
      </c>
      <c r="H32" s="746">
        <v>0</v>
      </c>
      <c r="I32" s="746">
        <v>0</v>
      </c>
      <c r="J32" s="746">
        <v>0</v>
      </c>
      <c r="K32" s="746">
        <v>0</v>
      </c>
      <c r="L32" s="746">
        <v>0</v>
      </c>
      <c r="M32" s="746">
        <v>0</v>
      </c>
    </row>
    <row r="33" spans="1:13">
      <c r="A33" s="92">
        <f t="shared" ref="A33" si="4">A32+1</f>
        <v>11</v>
      </c>
      <c r="B33" s="350" t="s">
        <v>654</v>
      </c>
      <c r="C33" s="703" t="s">
        <v>302</v>
      </c>
      <c r="D33" s="746"/>
      <c r="E33" s="746">
        <v>0</v>
      </c>
      <c r="F33" s="746">
        <v>0</v>
      </c>
      <c r="G33" s="746">
        <v>0</v>
      </c>
      <c r="H33" s="746">
        <v>0</v>
      </c>
      <c r="I33" s="746">
        <v>0</v>
      </c>
      <c r="J33" s="746">
        <v>0</v>
      </c>
      <c r="K33" s="746">
        <v>0</v>
      </c>
      <c r="L33" s="746">
        <v>0</v>
      </c>
      <c r="M33" s="746">
        <v>0</v>
      </c>
    </row>
    <row r="34" spans="1:13">
      <c r="A34" s="92">
        <f>A33+1</f>
        <v>12</v>
      </c>
      <c r="B34" s="350" t="s">
        <v>982</v>
      </c>
      <c r="C34" s="703" t="s">
        <v>302</v>
      </c>
      <c r="D34" s="746">
        <f>+D36</f>
        <v>81.80903499999998</v>
      </c>
      <c r="E34" s="746">
        <f t="shared" ref="E34:M34" si="5">+E36</f>
        <v>81.80903499999998</v>
      </c>
      <c r="F34" s="746">
        <f t="shared" si="5"/>
        <v>94.801609965396707</v>
      </c>
      <c r="G34" s="746">
        <f t="shared" si="5"/>
        <v>83.554100000000005</v>
      </c>
      <c r="H34" s="746">
        <f t="shared" si="5"/>
        <v>107.78941588517218</v>
      </c>
      <c r="I34" s="746">
        <f>+I36</f>
        <v>84.173599999999993</v>
      </c>
      <c r="J34" s="465">
        <f t="shared" si="5"/>
        <v>113.09436318412052</v>
      </c>
      <c r="K34" s="465">
        <f t="shared" si="5"/>
        <v>93.694355110965603</v>
      </c>
      <c r="L34" s="465">
        <f t="shared" si="5"/>
        <v>118.26779293660476</v>
      </c>
      <c r="M34" s="465">
        <f t="shared" si="5"/>
        <v>95.590027517356319</v>
      </c>
    </row>
    <row r="35" spans="1:13">
      <c r="A35" s="92">
        <v>13</v>
      </c>
      <c r="B35" s="350" t="s">
        <v>983</v>
      </c>
      <c r="C35" s="703" t="s">
        <v>302</v>
      </c>
      <c r="D35" s="746">
        <v>0</v>
      </c>
      <c r="E35" s="746">
        <v>0</v>
      </c>
      <c r="F35" s="746">
        <v>0</v>
      </c>
      <c r="G35" s="746">
        <v>0</v>
      </c>
      <c r="H35" s="746">
        <v>0</v>
      </c>
      <c r="I35" s="746">
        <v>0</v>
      </c>
      <c r="J35" s="465">
        <v>0</v>
      </c>
      <c r="K35" s="465">
        <v>0</v>
      </c>
      <c r="L35" s="465">
        <v>0</v>
      </c>
      <c r="M35" s="465">
        <v>0</v>
      </c>
    </row>
    <row r="36" spans="1:13">
      <c r="A36" s="92">
        <v>14</v>
      </c>
      <c r="B36" s="349" t="s">
        <v>984</v>
      </c>
      <c r="C36" s="349" t="s">
        <v>302</v>
      </c>
      <c r="D36" s="467">
        <f t="shared" ref="D36:L36" si="6">(D39+D44)/(1-D37)</f>
        <v>81.80903499999998</v>
      </c>
      <c r="E36" s="467">
        <f t="shared" si="6"/>
        <v>81.80903499999998</v>
      </c>
      <c r="F36" s="467">
        <f t="shared" si="6"/>
        <v>94.801609965396707</v>
      </c>
      <c r="G36" s="467">
        <f>(G39+G44)/(1-G37)</f>
        <v>83.554100000000005</v>
      </c>
      <c r="H36" s="467">
        <f t="shared" si="6"/>
        <v>107.78941588517218</v>
      </c>
      <c r="I36" s="467">
        <f>(I39+I44)/(1-I37)</f>
        <v>84.173599999999993</v>
      </c>
      <c r="J36" s="467">
        <f t="shared" si="6"/>
        <v>113.09436318412052</v>
      </c>
      <c r="K36" s="467">
        <f>(K39+K44)/(1-K37)</f>
        <v>93.694355110965603</v>
      </c>
      <c r="L36" s="467">
        <f t="shared" si="6"/>
        <v>118.26779293660476</v>
      </c>
      <c r="M36" s="467">
        <f>(M39+M44)/(1-M37)</f>
        <v>95.590027517356319</v>
      </c>
    </row>
    <row r="37" spans="1:13">
      <c r="A37" s="92">
        <v>15</v>
      </c>
      <c r="B37" s="350" t="s">
        <v>655</v>
      </c>
      <c r="C37" s="350" t="s">
        <v>644</v>
      </c>
      <c r="D37" s="702">
        <f>'F1.3'!J12</f>
        <v>-7.8266147498292141E-4</v>
      </c>
      <c r="E37" s="702">
        <f>'F1.3'!J11</f>
        <v>-7.8266147498292141E-4</v>
      </c>
      <c r="F37" s="702">
        <f>'F1.3'!J19</f>
        <v>6.4000000000000003E-3</v>
      </c>
      <c r="G37" s="469">
        <f>'F1.3'!J18</f>
        <v>8.0293038881395599E-3</v>
      </c>
      <c r="H37" s="702">
        <f>'F1.3'!J25</f>
        <v>6.4000000000000003E-3</v>
      </c>
      <c r="I37" s="469">
        <f>'F1.3'!J24</f>
        <v>9.1046130853378107E-3</v>
      </c>
      <c r="J37" s="702">
        <f>'F1.3'!J32</f>
        <v>6.4000000000000003E-3</v>
      </c>
      <c r="K37" s="470">
        <f>'F1.3'!J31</f>
        <v>9.1046130853378107E-3</v>
      </c>
      <c r="L37" s="702">
        <f>J37</f>
        <v>6.4000000000000003E-3</v>
      </c>
      <c r="M37" s="470">
        <f>'F1.3'!J37</f>
        <v>9.1046130853378107E-3</v>
      </c>
    </row>
    <row r="38" spans="1:13">
      <c r="A38" s="92">
        <v>15.1</v>
      </c>
      <c r="B38" s="350" t="s">
        <v>655</v>
      </c>
      <c r="C38" s="350" t="s">
        <v>302</v>
      </c>
      <c r="D38" s="465"/>
      <c r="E38" s="465">
        <f t="shared" ref="E38:M38" si="7">E36*E37</f>
        <v>-6.4028780000029428E-2</v>
      </c>
      <c r="F38" s="465">
        <f t="shared" si="7"/>
        <v>0.60673030377853898</v>
      </c>
      <c r="G38" s="465">
        <f t="shared" si="7"/>
        <v>0.6708812600000017</v>
      </c>
      <c r="H38" s="465">
        <f t="shared" si="7"/>
        <v>0.68985226166510194</v>
      </c>
      <c r="I38" s="465">
        <f t="shared" si="7"/>
        <v>0.76636805999999069</v>
      </c>
      <c r="J38" s="465">
        <f t="shared" si="7"/>
        <v>0.72380392437837138</v>
      </c>
      <c r="K38" s="465">
        <f t="shared" si="7"/>
        <v>0.85305085156558502</v>
      </c>
      <c r="L38" s="465">
        <f t="shared" si="7"/>
        <v>0.75691387479427052</v>
      </c>
      <c r="M38" s="465">
        <f t="shared" si="7"/>
        <v>0.87031021536232378</v>
      </c>
    </row>
    <row r="39" spans="1:13" s="27" customFormat="1" ht="14.25">
      <c r="A39" s="93">
        <v>16</v>
      </c>
      <c r="B39" s="349" t="s">
        <v>656</v>
      </c>
      <c r="C39" s="349" t="s">
        <v>302</v>
      </c>
      <c r="D39" s="467">
        <f>D40</f>
        <v>75.017672810000008</v>
      </c>
      <c r="E39" s="467">
        <f>E40</f>
        <v>75.017672810000008</v>
      </c>
      <c r="F39" s="467">
        <f t="shared" ref="F39:M39" si="8">F40</f>
        <v>87.138208294645452</v>
      </c>
      <c r="G39" s="467">
        <f t="shared" si="8"/>
        <v>74.873302989999999</v>
      </c>
      <c r="H39" s="467">
        <f t="shared" si="8"/>
        <v>99.972325542864624</v>
      </c>
      <c r="I39" s="467">
        <f t="shared" si="8"/>
        <v>75.265755159999998</v>
      </c>
      <c r="J39" s="467">
        <f t="shared" si="8"/>
        <v>105.17204879829328</v>
      </c>
      <c r="K39" s="467">
        <f>K40</f>
        <v>84.618412711600016</v>
      </c>
      <c r="L39" s="467">
        <f t="shared" si="8"/>
        <v>110.24038349574712</v>
      </c>
      <c r="M39" s="467">
        <f t="shared" si="8"/>
        <v>86.414596838715994</v>
      </c>
    </row>
    <row r="40" spans="1:13" s="813" customFormat="1">
      <c r="A40" s="812">
        <f>A39+0.1</f>
        <v>16.100000000000001</v>
      </c>
      <c r="B40" s="353" t="s">
        <v>665</v>
      </c>
      <c r="C40" s="353" t="s">
        <v>302</v>
      </c>
      <c r="D40" s="744">
        <f>'F1'!C14</f>
        <v>75.017672810000008</v>
      </c>
      <c r="E40" s="744">
        <f>'F1'!D14</f>
        <v>75.017672810000008</v>
      </c>
      <c r="F40" s="744">
        <f>'F1'!C35</f>
        <v>87.138208294645452</v>
      </c>
      <c r="G40" s="744">
        <f>'F1'!D35</f>
        <v>74.873302989999999</v>
      </c>
      <c r="H40" s="744">
        <f>'F1'!F35</f>
        <v>99.972325542864624</v>
      </c>
      <c r="I40" s="744">
        <f>'F1'!I35</f>
        <v>75.265755159999998</v>
      </c>
      <c r="J40" s="744">
        <f>'F1'!K35</f>
        <v>105.17204879829328</v>
      </c>
      <c r="K40" s="745">
        <f>'F1'!L35</f>
        <v>84.618412711600016</v>
      </c>
      <c r="L40" s="744">
        <f>'F1'!M35</f>
        <v>110.24038349574712</v>
      </c>
      <c r="M40" s="744">
        <f>'F1'!N35</f>
        <v>86.414596838715994</v>
      </c>
    </row>
    <row r="41" spans="1:13">
      <c r="A41" s="92">
        <f>A40+0.1</f>
        <v>16.200000000000003</v>
      </c>
      <c r="B41" s="353" t="s">
        <v>667</v>
      </c>
      <c r="C41" s="350" t="s">
        <v>302</v>
      </c>
      <c r="D41" s="465"/>
      <c r="E41" s="465">
        <v>0</v>
      </c>
      <c r="F41" s="465"/>
      <c r="G41" s="465">
        <v>0</v>
      </c>
      <c r="H41" s="465"/>
      <c r="I41" s="465">
        <v>0</v>
      </c>
      <c r="J41" s="465"/>
      <c r="K41" s="465">
        <v>0</v>
      </c>
      <c r="L41" s="465"/>
      <c r="M41" s="465">
        <v>0</v>
      </c>
    </row>
    <row r="42" spans="1:13">
      <c r="A42" s="92">
        <f t="shared" ref="A42:A43" si="9">A41+0.1</f>
        <v>16.300000000000004</v>
      </c>
      <c r="B42" s="353" t="s">
        <v>668</v>
      </c>
      <c r="C42" s="350" t="s">
        <v>302</v>
      </c>
      <c r="D42" s="465"/>
      <c r="E42" s="465">
        <v>0</v>
      </c>
      <c r="F42" s="465"/>
      <c r="G42" s="465">
        <v>0</v>
      </c>
      <c r="H42" s="465"/>
      <c r="I42" s="465">
        <v>0</v>
      </c>
      <c r="J42" s="465"/>
      <c r="K42" s="465">
        <v>0</v>
      </c>
      <c r="L42" s="465"/>
      <c r="M42" s="465">
        <v>0</v>
      </c>
    </row>
    <row r="43" spans="1:13">
      <c r="A43" s="92">
        <f t="shared" si="9"/>
        <v>16.400000000000006</v>
      </c>
      <c r="B43" s="353" t="s">
        <v>666</v>
      </c>
      <c r="C43" s="350" t="s">
        <v>302</v>
      </c>
      <c r="D43" s="465"/>
      <c r="E43" s="465">
        <v>0</v>
      </c>
      <c r="F43" s="465"/>
      <c r="G43" s="465">
        <v>0</v>
      </c>
      <c r="H43" s="465"/>
      <c r="I43" s="465">
        <v>0</v>
      </c>
      <c r="J43" s="465"/>
      <c r="K43" s="465">
        <v>0</v>
      </c>
      <c r="L43" s="465"/>
      <c r="M43" s="465">
        <v>0</v>
      </c>
    </row>
    <row r="44" spans="1:13" s="27" customFormat="1" ht="14.25">
      <c r="A44" s="93">
        <v>17</v>
      </c>
      <c r="B44" s="349" t="s">
        <v>657</v>
      </c>
      <c r="C44" s="349" t="s">
        <v>302</v>
      </c>
      <c r="D44" s="467">
        <f>D45</f>
        <v>6.8553909700000002</v>
      </c>
      <c r="E44" s="467">
        <f>E45</f>
        <v>6.8553909700000002</v>
      </c>
      <c r="F44" s="467">
        <f>F45</f>
        <v>7.0566713669727275</v>
      </c>
      <c r="G44" s="467">
        <f t="shared" ref="G44:M44" si="10">G45</f>
        <v>8.0099157500000011</v>
      </c>
      <c r="H44" s="467">
        <f t="shared" si="10"/>
        <v>7.1272380806424556</v>
      </c>
      <c r="I44" s="467">
        <f t="shared" si="10"/>
        <v>8.1414767799999996</v>
      </c>
      <c r="J44" s="467">
        <f t="shared" si="10"/>
        <v>7.1985104614488788</v>
      </c>
      <c r="K44" s="467">
        <f t="shared" si="10"/>
        <v>8.2228915477999998</v>
      </c>
      <c r="L44" s="467">
        <f t="shared" si="10"/>
        <v>7.2704955660633681</v>
      </c>
      <c r="M44" s="467">
        <f t="shared" si="10"/>
        <v>8.3051204632779996</v>
      </c>
    </row>
    <row r="45" spans="1:13" s="813" customFormat="1">
      <c r="A45" s="812">
        <f>A44+0.1</f>
        <v>17.100000000000001</v>
      </c>
      <c r="B45" s="353" t="s">
        <v>665</v>
      </c>
      <c r="C45" s="353" t="s">
        <v>302</v>
      </c>
      <c r="D45" s="744">
        <f>'F1'!C22</f>
        <v>6.8553909700000002</v>
      </c>
      <c r="E45" s="744">
        <f>'F1'!D22</f>
        <v>6.8553909700000002</v>
      </c>
      <c r="F45" s="744">
        <f>'F1'!C43</f>
        <v>7.0566713669727275</v>
      </c>
      <c r="G45" s="744">
        <f>'F1'!D43</f>
        <v>8.0099157500000011</v>
      </c>
      <c r="H45" s="744">
        <f>'F1'!F43</f>
        <v>7.1272380806424556</v>
      </c>
      <c r="I45" s="744">
        <f>'F1'!I43</f>
        <v>8.1414767799999996</v>
      </c>
      <c r="J45" s="744">
        <f>'F1'!K43</f>
        <v>7.1985104614488788</v>
      </c>
      <c r="K45" s="745">
        <f>'F1'!L43</f>
        <v>8.2228915477999998</v>
      </c>
      <c r="L45" s="744">
        <f>'F1'!M43</f>
        <v>7.2704955660633681</v>
      </c>
      <c r="M45" s="745">
        <f>'F1'!N43</f>
        <v>8.3051204632779996</v>
      </c>
    </row>
    <row r="46" spans="1:13">
      <c r="A46" s="92">
        <f>A45+0.1</f>
        <v>17.200000000000003</v>
      </c>
      <c r="B46" s="353" t="s">
        <v>667</v>
      </c>
      <c r="C46" s="350" t="s">
        <v>302</v>
      </c>
      <c r="D46" s="465"/>
      <c r="E46" s="465">
        <v>0</v>
      </c>
      <c r="F46" s="465"/>
      <c r="G46" s="465">
        <v>0</v>
      </c>
      <c r="H46" s="465"/>
      <c r="I46" s="465">
        <v>0</v>
      </c>
      <c r="J46" s="465"/>
      <c r="K46" s="465">
        <v>0</v>
      </c>
      <c r="L46" s="465"/>
      <c r="M46" s="465">
        <v>0</v>
      </c>
    </row>
    <row r="47" spans="1:13">
      <c r="A47" s="92">
        <f t="shared" ref="A47" si="11">A46+0.1</f>
        <v>17.300000000000004</v>
      </c>
      <c r="B47" s="353" t="s">
        <v>668</v>
      </c>
      <c r="C47" s="350" t="s">
        <v>302</v>
      </c>
      <c r="D47" s="465"/>
      <c r="E47" s="465">
        <v>0</v>
      </c>
      <c r="F47" s="465"/>
      <c r="G47" s="465">
        <v>0</v>
      </c>
      <c r="H47" s="465"/>
      <c r="I47" s="465">
        <v>0</v>
      </c>
      <c r="J47" s="465"/>
      <c r="K47" s="465">
        <v>0</v>
      </c>
      <c r="L47" s="465"/>
      <c r="M47" s="465">
        <v>0</v>
      </c>
    </row>
    <row r="48" spans="1:13">
      <c r="A48" s="18"/>
    </row>
    <row r="49" spans="1:1">
      <c r="A49" s="18" t="s">
        <v>747</v>
      </c>
    </row>
  </sheetData>
  <mergeCells count="8">
    <mergeCell ref="L6:M6"/>
    <mergeCell ref="J6:K6"/>
    <mergeCell ref="A6:A7"/>
    <mergeCell ref="B6:B7"/>
    <mergeCell ref="D6:E6"/>
    <mergeCell ref="F6:G6"/>
    <mergeCell ref="C6:C7"/>
    <mergeCell ref="H6:I6"/>
  </mergeCells>
  <pageMargins left="0.35433070866141736" right="0.19685039370078741" top="0.47244094488188981" bottom="0.31496062992125984" header="0.23622047244094491" footer="0.23622047244094491"/>
  <pageSetup paperSize="9" scale="66" orientation="landscape" r:id="rId1"/>
  <headerFooter alignWithMargins="0">
    <oddHeader>&amp;F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B3:O38"/>
  <sheetViews>
    <sheetView showGridLines="0" view="pageBreakPreview" zoomScale="60" zoomScaleNormal="75" workbookViewId="0">
      <selection activeCell="C11" sqref="C11:C12"/>
    </sheetView>
  </sheetViews>
  <sheetFormatPr defaultColWidth="9.140625" defaultRowHeight="15"/>
  <cols>
    <col min="1" max="1" width="6.85546875" style="18" customWidth="1"/>
    <col min="2" max="2" width="8.140625" style="18" customWidth="1"/>
    <col min="3" max="3" width="41.7109375" style="18" bestFit="1" customWidth="1"/>
    <col min="4" max="4" width="18.28515625" style="18" customWidth="1"/>
    <col min="5" max="5" width="18.42578125" style="18" customWidth="1"/>
    <col min="6" max="6" width="15.85546875" style="18" customWidth="1"/>
    <col min="7" max="7" width="15.140625" style="18" customWidth="1"/>
    <col min="8" max="8" width="15.85546875" style="18" customWidth="1"/>
    <col min="9" max="10" width="17.42578125" style="18" customWidth="1"/>
    <col min="11" max="11" width="17" style="18" customWidth="1"/>
    <col min="12" max="12" width="17.140625" style="18" customWidth="1"/>
    <col min="13" max="14" width="17.5703125" style="18" customWidth="1"/>
    <col min="15" max="15" width="17.42578125" style="18" customWidth="1"/>
    <col min="16" max="254" width="9.140625" style="18"/>
    <col min="255" max="255" width="6.85546875" style="18" customWidth="1"/>
    <col min="256" max="256" width="7" style="18" customWidth="1"/>
    <col min="257" max="257" width="17.85546875" style="18" bestFit="1" customWidth="1"/>
    <col min="258" max="258" width="12.85546875" style="18" customWidth="1"/>
    <col min="259" max="259" width="24" style="18" customWidth="1"/>
    <col min="260" max="260" width="13.42578125" style="18" bestFit="1" customWidth="1"/>
    <col min="261" max="261" width="13.85546875" style="18" customWidth="1"/>
    <col min="262" max="262" width="13.140625" style="18" customWidth="1"/>
    <col min="263" max="263" width="22.42578125" style="18" customWidth="1"/>
    <col min="264" max="264" width="18.42578125" style="18" customWidth="1"/>
    <col min="265" max="265" width="22" style="18" customWidth="1"/>
    <col min="266" max="266" width="21.28515625" style="18" customWidth="1"/>
    <col min="267" max="267" width="23" style="18" customWidth="1"/>
    <col min="268" max="510" width="9.140625" style="18"/>
    <col min="511" max="511" width="6.85546875" style="18" customWidth="1"/>
    <col min="512" max="512" width="7" style="18" customWidth="1"/>
    <col min="513" max="513" width="17.85546875" style="18" bestFit="1" customWidth="1"/>
    <col min="514" max="514" width="12.85546875" style="18" customWidth="1"/>
    <col min="515" max="515" width="24" style="18" customWidth="1"/>
    <col min="516" max="516" width="13.42578125" style="18" bestFit="1" customWidth="1"/>
    <col min="517" max="517" width="13.85546875" style="18" customWidth="1"/>
    <col min="518" max="518" width="13.140625" style="18" customWidth="1"/>
    <col min="519" max="519" width="22.42578125" style="18" customWidth="1"/>
    <col min="520" max="520" width="18.42578125" style="18" customWidth="1"/>
    <col min="521" max="521" width="22" style="18" customWidth="1"/>
    <col min="522" max="522" width="21.28515625" style="18" customWidth="1"/>
    <col min="523" max="523" width="23" style="18" customWidth="1"/>
    <col min="524" max="766" width="9.140625" style="18"/>
    <col min="767" max="767" width="6.85546875" style="18" customWidth="1"/>
    <col min="768" max="768" width="7" style="18" customWidth="1"/>
    <col min="769" max="769" width="17.85546875" style="18" bestFit="1" customWidth="1"/>
    <col min="770" max="770" width="12.85546875" style="18" customWidth="1"/>
    <col min="771" max="771" width="24" style="18" customWidth="1"/>
    <col min="772" max="772" width="13.42578125" style="18" bestFit="1" customWidth="1"/>
    <col min="773" max="773" width="13.85546875" style="18" customWidth="1"/>
    <col min="774" max="774" width="13.140625" style="18" customWidth="1"/>
    <col min="775" max="775" width="22.42578125" style="18" customWidth="1"/>
    <col min="776" max="776" width="18.42578125" style="18" customWidth="1"/>
    <col min="777" max="777" width="22" style="18" customWidth="1"/>
    <col min="778" max="778" width="21.28515625" style="18" customWidth="1"/>
    <col min="779" max="779" width="23" style="18" customWidth="1"/>
    <col min="780" max="1022" width="9.140625" style="18"/>
    <col min="1023" max="1023" width="6.85546875" style="18" customWidth="1"/>
    <col min="1024" max="1024" width="7" style="18" customWidth="1"/>
    <col min="1025" max="1025" width="17.85546875" style="18" bestFit="1" customWidth="1"/>
    <col min="1026" max="1026" width="12.85546875" style="18" customWidth="1"/>
    <col min="1027" max="1027" width="24" style="18" customWidth="1"/>
    <col min="1028" max="1028" width="13.42578125" style="18" bestFit="1" customWidth="1"/>
    <col min="1029" max="1029" width="13.85546875" style="18" customWidth="1"/>
    <col min="1030" max="1030" width="13.140625" style="18" customWidth="1"/>
    <col min="1031" max="1031" width="22.42578125" style="18" customWidth="1"/>
    <col min="1032" max="1032" width="18.42578125" style="18" customWidth="1"/>
    <col min="1033" max="1033" width="22" style="18" customWidth="1"/>
    <col min="1034" max="1034" width="21.28515625" style="18" customWidth="1"/>
    <col min="1035" max="1035" width="23" style="18" customWidth="1"/>
    <col min="1036" max="1278" width="9.140625" style="18"/>
    <col min="1279" max="1279" width="6.85546875" style="18" customWidth="1"/>
    <col min="1280" max="1280" width="7" style="18" customWidth="1"/>
    <col min="1281" max="1281" width="17.85546875" style="18" bestFit="1" customWidth="1"/>
    <col min="1282" max="1282" width="12.85546875" style="18" customWidth="1"/>
    <col min="1283" max="1283" width="24" style="18" customWidth="1"/>
    <col min="1284" max="1284" width="13.42578125" style="18" bestFit="1" customWidth="1"/>
    <col min="1285" max="1285" width="13.85546875" style="18" customWidth="1"/>
    <col min="1286" max="1286" width="13.140625" style="18" customWidth="1"/>
    <col min="1287" max="1287" width="22.42578125" style="18" customWidth="1"/>
    <col min="1288" max="1288" width="18.42578125" style="18" customWidth="1"/>
    <col min="1289" max="1289" width="22" style="18" customWidth="1"/>
    <col min="1290" max="1290" width="21.28515625" style="18" customWidth="1"/>
    <col min="1291" max="1291" width="23" style="18" customWidth="1"/>
    <col min="1292" max="1534" width="9.140625" style="18"/>
    <col min="1535" max="1535" width="6.85546875" style="18" customWidth="1"/>
    <col min="1536" max="1536" width="7" style="18" customWidth="1"/>
    <col min="1537" max="1537" width="17.85546875" style="18" bestFit="1" customWidth="1"/>
    <col min="1538" max="1538" width="12.85546875" style="18" customWidth="1"/>
    <col min="1539" max="1539" width="24" style="18" customWidth="1"/>
    <col min="1540" max="1540" width="13.42578125" style="18" bestFit="1" customWidth="1"/>
    <col min="1541" max="1541" width="13.85546875" style="18" customWidth="1"/>
    <col min="1542" max="1542" width="13.140625" style="18" customWidth="1"/>
    <col min="1543" max="1543" width="22.42578125" style="18" customWidth="1"/>
    <col min="1544" max="1544" width="18.42578125" style="18" customWidth="1"/>
    <col min="1545" max="1545" width="22" style="18" customWidth="1"/>
    <col min="1546" max="1546" width="21.28515625" style="18" customWidth="1"/>
    <col min="1547" max="1547" width="23" style="18" customWidth="1"/>
    <col min="1548" max="1790" width="9.140625" style="18"/>
    <col min="1791" max="1791" width="6.85546875" style="18" customWidth="1"/>
    <col min="1792" max="1792" width="7" style="18" customWidth="1"/>
    <col min="1793" max="1793" width="17.85546875" style="18" bestFit="1" customWidth="1"/>
    <col min="1794" max="1794" width="12.85546875" style="18" customWidth="1"/>
    <col min="1795" max="1795" width="24" style="18" customWidth="1"/>
    <col min="1796" max="1796" width="13.42578125" style="18" bestFit="1" customWidth="1"/>
    <col min="1797" max="1797" width="13.85546875" style="18" customWidth="1"/>
    <col min="1798" max="1798" width="13.140625" style="18" customWidth="1"/>
    <col min="1799" max="1799" width="22.42578125" style="18" customWidth="1"/>
    <col min="1800" max="1800" width="18.42578125" style="18" customWidth="1"/>
    <col min="1801" max="1801" width="22" style="18" customWidth="1"/>
    <col min="1802" max="1802" width="21.28515625" style="18" customWidth="1"/>
    <col min="1803" max="1803" width="23" style="18" customWidth="1"/>
    <col min="1804" max="2046" width="9.140625" style="18"/>
    <col min="2047" max="2047" width="6.85546875" style="18" customWidth="1"/>
    <col min="2048" max="2048" width="7" style="18" customWidth="1"/>
    <col min="2049" max="2049" width="17.85546875" style="18" bestFit="1" customWidth="1"/>
    <col min="2050" max="2050" width="12.85546875" style="18" customWidth="1"/>
    <col min="2051" max="2051" width="24" style="18" customWidth="1"/>
    <col min="2052" max="2052" width="13.42578125" style="18" bestFit="1" customWidth="1"/>
    <col min="2053" max="2053" width="13.85546875" style="18" customWidth="1"/>
    <col min="2054" max="2054" width="13.140625" style="18" customWidth="1"/>
    <col min="2055" max="2055" width="22.42578125" style="18" customWidth="1"/>
    <col min="2056" max="2056" width="18.42578125" style="18" customWidth="1"/>
    <col min="2057" max="2057" width="22" style="18" customWidth="1"/>
    <col min="2058" max="2058" width="21.28515625" style="18" customWidth="1"/>
    <col min="2059" max="2059" width="23" style="18" customWidth="1"/>
    <col min="2060" max="2302" width="9.140625" style="18"/>
    <col min="2303" max="2303" width="6.85546875" style="18" customWidth="1"/>
    <col min="2304" max="2304" width="7" style="18" customWidth="1"/>
    <col min="2305" max="2305" width="17.85546875" style="18" bestFit="1" customWidth="1"/>
    <col min="2306" max="2306" width="12.85546875" style="18" customWidth="1"/>
    <col min="2307" max="2307" width="24" style="18" customWidth="1"/>
    <col min="2308" max="2308" width="13.42578125" style="18" bestFit="1" customWidth="1"/>
    <col min="2309" max="2309" width="13.85546875" style="18" customWidth="1"/>
    <col min="2310" max="2310" width="13.140625" style="18" customWidth="1"/>
    <col min="2311" max="2311" width="22.42578125" style="18" customWidth="1"/>
    <col min="2312" max="2312" width="18.42578125" style="18" customWidth="1"/>
    <col min="2313" max="2313" width="22" style="18" customWidth="1"/>
    <col min="2314" max="2314" width="21.28515625" style="18" customWidth="1"/>
    <col min="2315" max="2315" width="23" style="18" customWidth="1"/>
    <col min="2316" max="2558" width="9.140625" style="18"/>
    <col min="2559" max="2559" width="6.85546875" style="18" customWidth="1"/>
    <col min="2560" max="2560" width="7" style="18" customWidth="1"/>
    <col min="2561" max="2561" width="17.85546875" style="18" bestFit="1" customWidth="1"/>
    <col min="2562" max="2562" width="12.85546875" style="18" customWidth="1"/>
    <col min="2563" max="2563" width="24" style="18" customWidth="1"/>
    <col min="2564" max="2564" width="13.42578125" style="18" bestFit="1" customWidth="1"/>
    <col min="2565" max="2565" width="13.85546875" style="18" customWidth="1"/>
    <col min="2566" max="2566" width="13.140625" style="18" customWidth="1"/>
    <col min="2567" max="2567" width="22.42578125" style="18" customWidth="1"/>
    <col min="2568" max="2568" width="18.42578125" style="18" customWidth="1"/>
    <col min="2569" max="2569" width="22" style="18" customWidth="1"/>
    <col min="2570" max="2570" width="21.28515625" style="18" customWidth="1"/>
    <col min="2571" max="2571" width="23" style="18" customWidth="1"/>
    <col min="2572" max="2814" width="9.140625" style="18"/>
    <col min="2815" max="2815" width="6.85546875" style="18" customWidth="1"/>
    <col min="2816" max="2816" width="7" style="18" customWidth="1"/>
    <col min="2817" max="2817" width="17.85546875" style="18" bestFit="1" customWidth="1"/>
    <col min="2818" max="2818" width="12.85546875" style="18" customWidth="1"/>
    <col min="2819" max="2819" width="24" style="18" customWidth="1"/>
    <col min="2820" max="2820" width="13.42578125" style="18" bestFit="1" customWidth="1"/>
    <col min="2821" max="2821" width="13.85546875" style="18" customWidth="1"/>
    <col min="2822" max="2822" width="13.140625" style="18" customWidth="1"/>
    <col min="2823" max="2823" width="22.42578125" style="18" customWidth="1"/>
    <col min="2824" max="2824" width="18.42578125" style="18" customWidth="1"/>
    <col min="2825" max="2825" width="22" style="18" customWidth="1"/>
    <col min="2826" max="2826" width="21.28515625" style="18" customWidth="1"/>
    <col min="2827" max="2827" width="23" style="18" customWidth="1"/>
    <col min="2828" max="3070" width="9.140625" style="18"/>
    <col min="3071" max="3071" width="6.85546875" style="18" customWidth="1"/>
    <col min="3072" max="3072" width="7" style="18" customWidth="1"/>
    <col min="3073" max="3073" width="17.85546875" style="18" bestFit="1" customWidth="1"/>
    <col min="3074" max="3074" width="12.85546875" style="18" customWidth="1"/>
    <col min="3075" max="3075" width="24" style="18" customWidth="1"/>
    <col min="3076" max="3076" width="13.42578125" style="18" bestFit="1" customWidth="1"/>
    <col min="3077" max="3077" width="13.85546875" style="18" customWidth="1"/>
    <col min="3078" max="3078" width="13.140625" style="18" customWidth="1"/>
    <col min="3079" max="3079" width="22.42578125" style="18" customWidth="1"/>
    <col min="3080" max="3080" width="18.42578125" style="18" customWidth="1"/>
    <col min="3081" max="3081" width="22" style="18" customWidth="1"/>
    <col min="3082" max="3082" width="21.28515625" style="18" customWidth="1"/>
    <col min="3083" max="3083" width="23" style="18" customWidth="1"/>
    <col min="3084" max="3326" width="9.140625" style="18"/>
    <col min="3327" max="3327" width="6.85546875" style="18" customWidth="1"/>
    <col min="3328" max="3328" width="7" style="18" customWidth="1"/>
    <col min="3329" max="3329" width="17.85546875" style="18" bestFit="1" customWidth="1"/>
    <col min="3330" max="3330" width="12.85546875" style="18" customWidth="1"/>
    <col min="3331" max="3331" width="24" style="18" customWidth="1"/>
    <col min="3332" max="3332" width="13.42578125" style="18" bestFit="1" customWidth="1"/>
    <col min="3333" max="3333" width="13.85546875" style="18" customWidth="1"/>
    <col min="3334" max="3334" width="13.140625" style="18" customWidth="1"/>
    <col min="3335" max="3335" width="22.42578125" style="18" customWidth="1"/>
    <col min="3336" max="3336" width="18.42578125" style="18" customWidth="1"/>
    <col min="3337" max="3337" width="22" style="18" customWidth="1"/>
    <col min="3338" max="3338" width="21.28515625" style="18" customWidth="1"/>
    <col min="3339" max="3339" width="23" style="18" customWidth="1"/>
    <col min="3340" max="3582" width="9.140625" style="18"/>
    <col min="3583" max="3583" width="6.85546875" style="18" customWidth="1"/>
    <col min="3584" max="3584" width="7" style="18" customWidth="1"/>
    <col min="3585" max="3585" width="17.85546875" style="18" bestFit="1" customWidth="1"/>
    <col min="3586" max="3586" width="12.85546875" style="18" customWidth="1"/>
    <col min="3587" max="3587" width="24" style="18" customWidth="1"/>
    <col min="3588" max="3588" width="13.42578125" style="18" bestFit="1" customWidth="1"/>
    <col min="3589" max="3589" width="13.85546875" style="18" customWidth="1"/>
    <col min="3590" max="3590" width="13.140625" style="18" customWidth="1"/>
    <col min="3591" max="3591" width="22.42578125" style="18" customWidth="1"/>
    <col min="3592" max="3592" width="18.42578125" style="18" customWidth="1"/>
    <col min="3593" max="3593" width="22" style="18" customWidth="1"/>
    <col min="3594" max="3594" width="21.28515625" style="18" customWidth="1"/>
    <col min="3595" max="3595" width="23" style="18" customWidth="1"/>
    <col min="3596" max="3838" width="9.140625" style="18"/>
    <col min="3839" max="3839" width="6.85546875" style="18" customWidth="1"/>
    <col min="3840" max="3840" width="7" style="18" customWidth="1"/>
    <col min="3841" max="3841" width="17.85546875" style="18" bestFit="1" customWidth="1"/>
    <col min="3842" max="3842" width="12.85546875" style="18" customWidth="1"/>
    <col min="3843" max="3843" width="24" style="18" customWidth="1"/>
    <col min="3844" max="3844" width="13.42578125" style="18" bestFit="1" customWidth="1"/>
    <col min="3845" max="3845" width="13.85546875" style="18" customWidth="1"/>
    <col min="3846" max="3846" width="13.140625" style="18" customWidth="1"/>
    <col min="3847" max="3847" width="22.42578125" style="18" customWidth="1"/>
    <col min="3848" max="3848" width="18.42578125" style="18" customWidth="1"/>
    <col min="3849" max="3849" width="22" style="18" customWidth="1"/>
    <col min="3850" max="3850" width="21.28515625" style="18" customWidth="1"/>
    <col min="3851" max="3851" width="23" style="18" customWidth="1"/>
    <col min="3852" max="4094" width="9.140625" style="18"/>
    <col min="4095" max="4095" width="6.85546875" style="18" customWidth="1"/>
    <col min="4096" max="4096" width="7" style="18" customWidth="1"/>
    <col min="4097" max="4097" width="17.85546875" style="18" bestFit="1" customWidth="1"/>
    <col min="4098" max="4098" width="12.85546875" style="18" customWidth="1"/>
    <col min="4099" max="4099" width="24" style="18" customWidth="1"/>
    <col min="4100" max="4100" width="13.42578125" style="18" bestFit="1" customWidth="1"/>
    <col min="4101" max="4101" width="13.85546875" style="18" customWidth="1"/>
    <col min="4102" max="4102" width="13.140625" style="18" customWidth="1"/>
    <col min="4103" max="4103" width="22.42578125" style="18" customWidth="1"/>
    <col min="4104" max="4104" width="18.42578125" style="18" customWidth="1"/>
    <col min="4105" max="4105" width="22" style="18" customWidth="1"/>
    <col min="4106" max="4106" width="21.28515625" style="18" customWidth="1"/>
    <col min="4107" max="4107" width="23" style="18" customWidth="1"/>
    <col min="4108" max="4350" width="9.140625" style="18"/>
    <col min="4351" max="4351" width="6.85546875" style="18" customWidth="1"/>
    <col min="4352" max="4352" width="7" style="18" customWidth="1"/>
    <col min="4353" max="4353" width="17.85546875" style="18" bestFit="1" customWidth="1"/>
    <col min="4354" max="4354" width="12.85546875" style="18" customWidth="1"/>
    <col min="4355" max="4355" width="24" style="18" customWidth="1"/>
    <col min="4356" max="4356" width="13.42578125" style="18" bestFit="1" customWidth="1"/>
    <col min="4357" max="4357" width="13.85546875" style="18" customWidth="1"/>
    <col min="4358" max="4358" width="13.140625" style="18" customWidth="1"/>
    <col min="4359" max="4359" width="22.42578125" style="18" customWidth="1"/>
    <col min="4360" max="4360" width="18.42578125" style="18" customWidth="1"/>
    <col min="4361" max="4361" width="22" style="18" customWidth="1"/>
    <col min="4362" max="4362" width="21.28515625" style="18" customWidth="1"/>
    <col min="4363" max="4363" width="23" style="18" customWidth="1"/>
    <col min="4364" max="4606" width="9.140625" style="18"/>
    <col min="4607" max="4607" width="6.85546875" style="18" customWidth="1"/>
    <col min="4608" max="4608" width="7" style="18" customWidth="1"/>
    <col min="4609" max="4609" width="17.85546875" style="18" bestFit="1" customWidth="1"/>
    <col min="4610" max="4610" width="12.85546875" style="18" customWidth="1"/>
    <col min="4611" max="4611" width="24" style="18" customWidth="1"/>
    <col min="4612" max="4612" width="13.42578125" style="18" bestFit="1" customWidth="1"/>
    <col min="4613" max="4613" width="13.85546875" style="18" customWidth="1"/>
    <col min="4614" max="4614" width="13.140625" style="18" customWidth="1"/>
    <col min="4615" max="4615" width="22.42578125" style="18" customWidth="1"/>
    <col min="4616" max="4616" width="18.42578125" style="18" customWidth="1"/>
    <col min="4617" max="4617" width="22" style="18" customWidth="1"/>
    <col min="4618" max="4618" width="21.28515625" style="18" customWidth="1"/>
    <col min="4619" max="4619" width="23" style="18" customWidth="1"/>
    <col min="4620" max="4862" width="9.140625" style="18"/>
    <col min="4863" max="4863" width="6.85546875" style="18" customWidth="1"/>
    <col min="4864" max="4864" width="7" style="18" customWidth="1"/>
    <col min="4865" max="4865" width="17.85546875" style="18" bestFit="1" customWidth="1"/>
    <col min="4866" max="4866" width="12.85546875" style="18" customWidth="1"/>
    <col min="4867" max="4867" width="24" style="18" customWidth="1"/>
    <col min="4868" max="4868" width="13.42578125" style="18" bestFit="1" customWidth="1"/>
    <col min="4869" max="4869" width="13.85546875" style="18" customWidth="1"/>
    <col min="4870" max="4870" width="13.140625" style="18" customWidth="1"/>
    <col min="4871" max="4871" width="22.42578125" style="18" customWidth="1"/>
    <col min="4872" max="4872" width="18.42578125" style="18" customWidth="1"/>
    <col min="4873" max="4873" width="22" style="18" customWidth="1"/>
    <col min="4874" max="4874" width="21.28515625" style="18" customWidth="1"/>
    <col min="4875" max="4875" width="23" style="18" customWidth="1"/>
    <col min="4876" max="5118" width="9.140625" style="18"/>
    <col min="5119" max="5119" width="6.85546875" style="18" customWidth="1"/>
    <col min="5120" max="5120" width="7" style="18" customWidth="1"/>
    <col min="5121" max="5121" width="17.85546875" style="18" bestFit="1" customWidth="1"/>
    <col min="5122" max="5122" width="12.85546875" style="18" customWidth="1"/>
    <col min="5123" max="5123" width="24" style="18" customWidth="1"/>
    <col min="5124" max="5124" width="13.42578125" style="18" bestFit="1" customWidth="1"/>
    <col min="5125" max="5125" width="13.85546875" style="18" customWidth="1"/>
    <col min="5126" max="5126" width="13.140625" style="18" customWidth="1"/>
    <col min="5127" max="5127" width="22.42578125" style="18" customWidth="1"/>
    <col min="5128" max="5128" width="18.42578125" style="18" customWidth="1"/>
    <col min="5129" max="5129" width="22" style="18" customWidth="1"/>
    <col min="5130" max="5130" width="21.28515625" style="18" customWidth="1"/>
    <col min="5131" max="5131" width="23" style="18" customWidth="1"/>
    <col min="5132" max="5374" width="9.140625" style="18"/>
    <col min="5375" max="5375" width="6.85546875" style="18" customWidth="1"/>
    <col min="5376" max="5376" width="7" style="18" customWidth="1"/>
    <col min="5377" max="5377" width="17.85546875" style="18" bestFit="1" customWidth="1"/>
    <col min="5378" max="5378" width="12.85546875" style="18" customWidth="1"/>
    <col min="5379" max="5379" width="24" style="18" customWidth="1"/>
    <col min="5380" max="5380" width="13.42578125" style="18" bestFit="1" customWidth="1"/>
    <col min="5381" max="5381" width="13.85546875" style="18" customWidth="1"/>
    <col min="5382" max="5382" width="13.140625" style="18" customWidth="1"/>
    <col min="5383" max="5383" width="22.42578125" style="18" customWidth="1"/>
    <col min="5384" max="5384" width="18.42578125" style="18" customWidth="1"/>
    <col min="5385" max="5385" width="22" style="18" customWidth="1"/>
    <col min="5386" max="5386" width="21.28515625" style="18" customWidth="1"/>
    <col min="5387" max="5387" width="23" style="18" customWidth="1"/>
    <col min="5388" max="5630" width="9.140625" style="18"/>
    <col min="5631" max="5631" width="6.85546875" style="18" customWidth="1"/>
    <col min="5632" max="5632" width="7" style="18" customWidth="1"/>
    <col min="5633" max="5633" width="17.85546875" style="18" bestFit="1" customWidth="1"/>
    <col min="5634" max="5634" width="12.85546875" style="18" customWidth="1"/>
    <col min="5635" max="5635" width="24" style="18" customWidth="1"/>
    <col min="5636" max="5636" width="13.42578125" style="18" bestFit="1" customWidth="1"/>
    <col min="5637" max="5637" width="13.85546875" style="18" customWidth="1"/>
    <col min="5638" max="5638" width="13.140625" style="18" customWidth="1"/>
    <col min="5639" max="5639" width="22.42578125" style="18" customWidth="1"/>
    <col min="5640" max="5640" width="18.42578125" style="18" customWidth="1"/>
    <col min="5641" max="5641" width="22" style="18" customWidth="1"/>
    <col min="5642" max="5642" width="21.28515625" style="18" customWidth="1"/>
    <col min="5643" max="5643" width="23" style="18" customWidth="1"/>
    <col min="5644" max="5886" width="9.140625" style="18"/>
    <col min="5887" max="5887" width="6.85546875" style="18" customWidth="1"/>
    <col min="5888" max="5888" width="7" style="18" customWidth="1"/>
    <col min="5889" max="5889" width="17.85546875" style="18" bestFit="1" customWidth="1"/>
    <col min="5890" max="5890" width="12.85546875" style="18" customWidth="1"/>
    <col min="5891" max="5891" width="24" style="18" customWidth="1"/>
    <col min="5892" max="5892" width="13.42578125" style="18" bestFit="1" customWidth="1"/>
    <col min="5893" max="5893" width="13.85546875" style="18" customWidth="1"/>
    <col min="5894" max="5894" width="13.140625" style="18" customWidth="1"/>
    <col min="5895" max="5895" width="22.42578125" style="18" customWidth="1"/>
    <col min="5896" max="5896" width="18.42578125" style="18" customWidth="1"/>
    <col min="5897" max="5897" width="22" style="18" customWidth="1"/>
    <col min="5898" max="5898" width="21.28515625" style="18" customWidth="1"/>
    <col min="5899" max="5899" width="23" style="18" customWidth="1"/>
    <col min="5900" max="6142" width="9.140625" style="18"/>
    <col min="6143" max="6143" width="6.85546875" style="18" customWidth="1"/>
    <col min="6144" max="6144" width="7" style="18" customWidth="1"/>
    <col min="6145" max="6145" width="17.85546875" style="18" bestFit="1" customWidth="1"/>
    <col min="6146" max="6146" width="12.85546875" style="18" customWidth="1"/>
    <col min="6147" max="6147" width="24" style="18" customWidth="1"/>
    <col min="6148" max="6148" width="13.42578125" style="18" bestFit="1" customWidth="1"/>
    <col min="6149" max="6149" width="13.85546875" style="18" customWidth="1"/>
    <col min="6150" max="6150" width="13.140625" style="18" customWidth="1"/>
    <col min="6151" max="6151" width="22.42578125" style="18" customWidth="1"/>
    <col min="6152" max="6152" width="18.42578125" style="18" customWidth="1"/>
    <col min="6153" max="6153" width="22" style="18" customWidth="1"/>
    <col min="6154" max="6154" width="21.28515625" style="18" customWidth="1"/>
    <col min="6155" max="6155" width="23" style="18" customWidth="1"/>
    <col min="6156" max="6398" width="9.140625" style="18"/>
    <col min="6399" max="6399" width="6.85546875" style="18" customWidth="1"/>
    <col min="6400" max="6400" width="7" style="18" customWidth="1"/>
    <col min="6401" max="6401" width="17.85546875" style="18" bestFit="1" customWidth="1"/>
    <col min="6402" max="6402" width="12.85546875" style="18" customWidth="1"/>
    <col min="6403" max="6403" width="24" style="18" customWidth="1"/>
    <col min="6404" max="6404" width="13.42578125" style="18" bestFit="1" customWidth="1"/>
    <col min="6405" max="6405" width="13.85546875" style="18" customWidth="1"/>
    <col min="6406" max="6406" width="13.140625" style="18" customWidth="1"/>
    <col min="6407" max="6407" width="22.42578125" style="18" customWidth="1"/>
    <col min="6408" max="6408" width="18.42578125" style="18" customWidth="1"/>
    <col min="6409" max="6409" width="22" style="18" customWidth="1"/>
    <col min="6410" max="6410" width="21.28515625" style="18" customWidth="1"/>
    <col min="6411" max="6411" width="23" style="18" customWidth="1"/>
    <col min="6412" max="6654" width="9.140625" style="18"/>
    <col min="6655" max="6655" width="6.85546875" style="18" customWidth="1"/>
    <col min="6656" max="6656" width="7" style="18" customWidth="1"/>
    <col min="6657" max="6657" width="17.85546875" style="18" bestFit="1" customWidth="1"/>
    <col min="6658" max="6658" width="12.85546875" style="18" customWidth="1"/>
    <col min="6659" max="6659" width="24" style="18" customWidth="1"/>
    <col min="6660" max="6660" width="13.42578125" style="18" bestFit="1" customWidth="1"/>
    <col min="6661" max="6661" width="13.85546875" style="18" customWidth="1"/>
    <col min="6662" max="6662" width="13.140625" style="18" customWidth="1"/>
    <col min="6663" max="6663" width="22.42578125" style="18" customWidth="1"/>
    <col min="6664" max="6664" width="18.42578125" style="18" customWidth="1"/>
    <col min="6665" max="6665" width="22" style="18" customWidth="1"/>
    <col min="6666" max="6666" width="21.28515625" style="18" customWidth="1"/>
    <col min="6667" max="6667" width="23" style="18" customWidth="1"/>
    <col min="6668" max="6910" width="9.140625" style="18"/>
    <col min="6911" max="6911" width="6.85546875" style="18" customWidth="1"/>
    <col min="6912" max="6912" width="7" style="18" customWidth="1"/>
    <col min="6913" max="6913" width="17.85546875" style="18" bestFit="1" customWidth="1"/>
    <col min="6914" max="6914" width="12.85546875" style="18" customWidth="1"/>
    <col min="6915" max="6915" width="24" style="18" customWidth="1"/>
    <col min="6916" max="6916" width="13.42578125" style="18" bestFit="1" customWidth="1"/>
    <col min="6917" max="6917" width="13.85546875" style="18" customWidth="1"/>
    <col min="6918" max="6918" width="13.140625" style="18" customWidth="1"/>
    <col min="6919" max="6919" width="22.42578125" style="18" customWidth="1"/>
    <col min="6920" max="6920" width="18.42578125" style="18" customWidth="1"/>
    <col min="6921" max="6921" width="22" style="18" customWidth="1"/>
    <col min="6922" max="6922" width="21.28515625" style="18" customWidth="1"/>
    <col min="6923" max="6923" width="23" style="18" customWidth="1"/>
    <col min="6924" max="7166" width="9.140625" style="18"/>
    <col min="7167" max="7167" width="6.85546875" style="18" customWidth="1"/>
    <col min="7168" max="7168" width="7" style="18" customWidth="1"/>
    <col min="7169" max="7169" width="17.85546875" style="18" bestFit="1" customWidth="1"/>
    <col min="7170" max="7170" width="12.85546875" style="18" customWidth="1"/>
    <col min="7171" max="7171" width="24" style="18" customWidth="1"/>
    <col min="7172" max="7172" width="13.42578125" style="18" bestFit="1" customWidth="1"/>
    <col min="7173" max="7173" width="13.85546875" style="18" customWidth="1"/>
    <col min="7174" max="7174" width="13.140625" style="18" customWidth="1"/>
    <col min="7175" max="7175" width="22.42578125" style="18" customWidth="1"/>
    <col min="7176" max="7176" width="18.42578125" style="18" customWidth="1"/>
    <col min="7177" max="7177" width="22" style="18" customWidth="1"/>
    <col min="7178" max="7178" width="21.28515625" style="18" customWidth="1"/>
    <col min="7179" max="7179" width="23" style="18" customWidth="1"/>
    <col min="7180" max="7422" width="9.140625" style="18"/>
    <col min="7423" max="7423" width="6.85546875" style="18" customWidth="1"/>
    <col min="7424" max="7424" width="7" style="18" customWidth="1"/>
    <col min="7425" max="7425" width="17.85546875" style="18" bestFit="1" customWidth="1"/>
    <col min="7426" max="7426" width="12.85546875" style="18" customWidth="1"/>
    <col min="7427" max="7427" width="24" style="18" customWidth="1"/>
    <col min="7428" max="7428" width="13.42578125" style="18" bestFit="1" customWidth="1"/>
    <col min="7429" max="7429" width="13.85546875" style="18" customWidth="1"/>
    <col min="7430" max="7430" width="13.140625" style="18" customWidth="1"/>
    <col min="7431" max="7431" width="22.42578125" style="18" customWidth="1"/>
    <col min="7432" max="7432" width="18.42578125" style="18" customWidth="1"/>
    <col min="7433" max="7433" width="22" style="18" customWidth="1"/>
    <col min="7434" max="7434" width="21.28515625" style="18" customWidth="1"/>
    <col min="7435" max="7435" width="23" style="18" customWidth="1"/>
    <col min="7436" max="7678" width="9.140625" style="18"/>
    <col min="7679" max="7679" width="6.85546875" style="18" customWidth="1"/>
    <col min="7680" max="7680" width="7" style="18" customWidth="1"/>
    <col min="7681" max="7681" width="17.85546875" style="18" bestFit="1" customWidth="1"/>
    <col min="7682" max="7682" width="12.85546875" style="18" customWidth="1"/>
    <col min="7683" max="7683" width="24" style="18" customWidth="1"/>
    <col min="7684" max="7684" width="13.42578125" style="18" bestFit="1" customWidth="1"/>
    <col min="7685" max="7685" width="13.85546875" style="18" customWidth="1"/>
    <col min="7686" max="7686" width="13.140625" style="18" customWidth="1"/>
    <col min="7687" max="7687" width="22.42578125" style="18" customWidth="1"/>
    <col min="7688" max="7688" width="18.42578125" style="18" customWidth="1"/>
    <col min="7689" max="7689" width="22" style="18" customWidth="1"/>
    <col min="7690" max="7690" width="21.28515625" style="18" customWidth="1"/>
    <col min="7691" max="7691" width="23" style="18" customWidth="1"/>
    <col min="7692" max="7934" width="9.140625" style="18"/>
    <col min="7935" max="7935" width="6.85546875" style="18" customWidth="1"/>
    <col min="7936" max="7936" width="7" style="18" customWidth="1"/>
    <col min="7937" max="7937" width="17.85546875" style="18" bestFit="1" customWidth="1"/>
    <col min="7938" max="7938" width="12.85546875" style="18" customWidth="1"/>
    <col min="7939" max="7939" width="24" style="18" customWidth="1"/>
    <col min="7940" max="7940" width="13.42578125" style="18" bestFit="1" customWidth="1"/>
    <col min="7941" max="7941" width="13.85546875" style="18" customWidth="1"/>
    <col min="7942" max="7942" width="13.140625" style="18" customWidth="1"/>
    <col min="7943" max="7943" width="22.42578125" style="18" customWidth="1"/>
    <col min="7944" max="7944" width="18.42578125" style="18" customWidth="1"/>
    <col min="7945" max="7945" width="22" style="18" customWidth="1"/>
    <col min="7946" max="7946" width="21.28515625" style="18" customWidth="1"/>
    <col min="7947" max="7947" width="23" style="18" customWidth="1"/>
    <col min="7948" max="8190" width="9.140625" style="18"/>
    <col min="8191" max="8191" width="6.85546875" style="18" customWidth="1"/>
    <col min="8192" max="8192" width="7" style="18" customWidth="1"/>
    <col min="8193" max="8193" width="17.85546875" style="18" bestFit="1" customWidth="1"/>
    <col min="8194" max="8194" width="12.85546875" style="18" customWidth="1"/>
    <col min="8195" max="8195" width="24" style="18" customWidth="1"/>
    <col min="8196" max="8196" width="13.42578125" style="18" bestFit="1" customWidth="1"/>
    <col min="8197" max="8197" width="13.85546875" style="18" customWidth="1"/>
    <col min="8198" max="8198" width="13.140625" style="18" customWidth="1"/>
    <col min="8199" max="8199" width="22.42578125" style="18" customWidth="1"/>
    <col min="8200" max="8200" width="18.42578125" style="18" customWidth="1"/>
    <col min="8201" max="8201" width="22" style="18" customWidth="1"/>
    <col min="8202" max="8202" width="21.28515625" style="18" customWidth="1"/>
    <col min="8203" max="8203" width="23" style="18" customWidth="1"/>
    <col min="8204" max="8446" width="9.140625" style="18"/>
    <col min="8447" max="8447" width="6.85546875" style="18" customWidth="1"/>
    <col min="8448" max="8448" width="7" style="18" customWidth="1"/>
    <col min="8449" max="8449" width="17.85546875" style="18" bestFit="1" customWidth="1"/>
    <col min="8450" max="8450" width="12.85546875" style="18" customWidth="1"/>
    <col min="8451" max="8451" width="24" style="18" customWidth="1"/>
    <col min="8452" max="8452" width="13.42578125" style="18" bestFit="1" customWidth="1"/>
    <col min="8453" max="8453" width="13.85546875" style="18" customWidth="1"/>
    <col min="8454" max="8454" width="13.140625" style="18" customWidth="1"/>
    <col min="8455" max="8455" width="22.42578125" style="18" customWidth="1"/>
    <col min="8456" max="8456" width="18.42578125" style="18" customWidth="1"/>
    <col min="8457" max="8457" width="22" style="18" customWidth="1"/>
    <col min="8458" max="8458" width="21.28515625" style="18" customWidth="1"/>
    <col min="8459" max="8459" width="23" style="18" customWidth="1"/>
    <col min="8460" max="8702" width="9.140625" style="18"/>
    <col min="8703" max="8703" width="6.85546875" style="18" customWidth="1"/>
    <col min="8704" max="8704" width="7" style="18" customWidth="1"/>
    <col min="8705" max="8705" width="17.85546875" style="18" bestFit="1" customWidth="1"/>
    <col min="8706" max="8706" width="12.85546875" style="18" customWidth="1"/>
    <col min="8707" max="8707" width="24" style="18" customWidth="1"/>
    <col min="8708" max="8708" width="13.42578125" style="18" bestFit="1" customWidth="1"/>
    <col min="8709" max="8709" width="13.85546875" style="18" customWidth="1"/>
    <col min="8710" max="8710" width="13.140625" style="18" customWidth="1"/>
    <col min="8711" max="8711" width="22.42578125" style="18" customWidth="1"/>
    <col min="8712" max="8712" width="18.42578125" style="18" customWidth="1"/>
    <col min="8713" max="8713" width="22" style="18" customWidth="1"/>
    <col min="8714" max="8714" width="21.28515625" style="18" customWidth="1"/>
    <col min="8715" max="8715" width="23" style="18" customWidth="1"/>
    <col min="8716" max="8958" width="9.140625" style="18"/>
    <col min="8959" max="8959" width="6.85546875" style="18" customWidth="1"/>
    <col min="8960" max="8960" width="7" style="18" customWidth="1"/>
    <col min="8961" max="8961" width="17.85546875" style="18" bestFit="1" customWidth="1"/>
    <col min="8962" max="8962" width="12.85546875" style="18" customWidth="1"/>
    <col min="8963" max="8963" width="24" style="18" customWidth="1"/>
    <col min="8964" max="8964" width="13.42578125" style="18" bestFit="1" customWidth="1"/>
    <col min="8965" max="8965" width="13.85546875" style="18" customWidth="1"/>
    <col min="8966" max="8966" width="13.140625" style="18" customWidth="1"/>
    <col min="8967" max="8967" width="22.42578125" style="18" customWidth="1"/>
    <col min="8968" max="8968" width="18.42578125" style="18" customWidth="1"/>
    <col min="8969" max="8969" width="22" style="18" customWidth="1"/>
    <col min="8970" max="8970" width="21.28515625" style="18" customWidth="1"/>
    <col min="8971" max="8971" width="23" style="18" customWidth="1"/>
    <col min="8972" max="9214" width="9.140625" style="18"/>
    <col min="9215" max="9215" width="6.85546875" style="18" customWidth="1"/>
    <col min="9216" max="9216" width="7" style="18" customWidth="1"/>
    <col min="9217" max="9217" width="17.85546875" style="18" bestFit="1" customWidth="1"/>
    <col min="9218" max="9218" width="12.85546875" style="18" customWidth="1"/>
    <col min="9219" max="9219" width="24" style="18" customWidth="1"/>
    <col min="9220" max="9220" width="13.42578125" style="18" bestFit="1" customWidth="1"/>
    <col min="9221" max="9221" width="13.85546875" style="18" customWidth="1"/>
    <col min="9222" max="9222" width="13.140625" style="18" customWidth="1"/>
    <col min="9223" max="9223" width="22.42578125" style="18" customWidth="1"/>
    <col min="9224" max="9224" width="18.42578125" style="18" customWidth="1"/>
    <col min="9225" max="9225" width="22" style="18" customWidth="1"/>
    <col min="9226" max="9226" width="21.28515625" style="18" customWidth="1"/>
    <col min="9227" max="9227" width="23" style="18" customWidth="1"/>
    <col min="9228" max="9470" width="9.140625" style="18"/>
    <col min="9471" max="9471" width="6.85546875" style="18" customWidth="1"/>
    <col min="9472" max="9472" width="7" style="18" customWidth="1"/>
    <col min="9473" max="9473" width="17.85546875" style="18" bestFit="1" customWidth="1"/>
    <col min="9474" max="9474" width="12.85546875" style="18" customWidth="1"/>
    <col min="9475" max="9475" width="24" style="18" customWidth="1"/>
    <col min="9476" max="9476" width="13.42578125" style="18" bestFit="1" customWidth="1"/>
    <col min="9477" max="9477" width="13.85546875" style="18" customWidth="1"/>
    <col min="9478" max="9478" width="13.140625" style="18" customWidth="1"/>
    <col min="9479" max="9479" width="22.42578125" style="18" customWidth="1"/>
    <col min="9480" max="9480" width="18.42578125" style="18" customWidth="1"/>
    <col min="9481" max="9481" width="22" style="18" customWidth="1"/>
    <col min="9482" max="9482" width="21.28515625" style="18" customWidth="1"/>
    <col min="9483" max="9483" width="23" style="18" customWidth="1"/>
    <col min="9484" max="9726" width="9.140625" style="18"/>
    <col min="9727" max="9727" width="6.85546875" style="18" customWidth="1"/>
    <col min="9728" max="9728" width="7" style="18" customWidth="1"/>
    <col min="9729" max="9729" width="17.85546875" style="18" bestFit="1" customWidth="1"/>
    <col min="9730" max="9730" width="12.85546875" style="18" customWidth="1"/>
    <col min="9731" max="9731" width="24" style="18" customWidth="1"/>
    <col min="9732" max="9732" width="13.42578125" style="18" bestFit="1" customWidth="1"/>
    <col min="9733" max="9733" width="13.85546875" style="18" customWidth="1"/>
    <col min="9734" max="9734" width="13.140625" style="18" customWidth="1"/>
    <col min="9735" max="9735" width="22.42578125" style="18" customWidth="1"/>
    <col min="9736" max="9736" width="18.42578125" style="18" customWidth="1"/>
    <col min="9737" max="9737" width="22" style="18" customWidth="1"/>
    <col min="9738" max="9738" width="21.28515625" style="18" customWidth="1"/>
    <col min="9739" max="9739" width="23" style="18" customWidth="1"/>
    <col min="9740" max="9982" width="9.140625" style="18"/>
    <col min="9983" max="9983" width="6.85546875" style="18" customWidth="1"/>
    <col min="9984" max="9984" width="7" style="18" customWidth="1"/>
    <col min="9985" max="9985" width="17.85546875" style="18" bestFit="1" customWidth="1"/>
    <col min="9986" max="9986" width="12.85546875" style="18" customWidth="1"/>
    <col min="9987" max="9987" width="24" style="18" customWidth="1"/>
    <col min="9988" max="9988" width="13.42578125" style="18" bestFit="1" customWidth="1"/>
    <col min="9989" max="9989" width="13.85546875" style="18" customWidth="1"/>
    <col min="9990" max="9990" width="13.140625" style="18" customWidth="1"/>
    <col min="9991" max="9991" width="22.42578125" style="18" customWidth="1"/>
    <col min="9992" max="9992" width="18.42578125" style="18" customWidth="1"/>
    <col min="9993" max="9993" width="22" style="18" customWidth="1"/>
    <col min="9994" max="9994" width="21.28515625" style="18" customWidth="1"/>
    <col min="9995" max="9995" width="23" style="18" customWidth="1"/>
    <col min="9996" max="10238" width="9.140625" style="18"/>
    <col min="10239" max="10239" width="6.85546875" style="18" customWidth="1"/>
    <col min="10240" max="10240" width="7" style="18" customWidth="1"/>
    <col min="10241" max="10241" width="17.85546875" style="18" bestFit="1" customWidth="1"/>
    <col min="10242" max="10242" width="12.85546875" style="18" customWidth="1"/>
    <col min="10243" max="10243" width="24" style="18" customWidth="1"/>
    <col min="10244" max="10244" width="13.42578125" style="18" bestFit="1" customWidth="1"/>
    <col min="10245" max="10245" width="13.85546875" style="18" customWidth="1"/>
    <col min="10246" max="10246" width="13.140625" style="18" customWidth="1"/>
    <col min="10247" max="10247" width="22.42578125" style="18" customWidth="1"/>
    <col min="10248" max="10248" width="18.42578125" style="18" customWidth="1"/>
    <col min="10249" max="10249" width="22" style="18" customWidth="1"/>
    <col min="10250" max="10250" width="21.28515625" style="18" customWidth="1"/>
    <col min="10251" max="10251" width="23" style="18" customWidth="1"/>
    <col min="10252" max="10494" width="9.140625" style="18"/>
    <col min="10495" max="10495" width="6.85546875" style="18" customWidth="1"/>
    <col min="10496" max="10496" width="7" style="18" customWidth="1"/>
    <col min="10497" max="10497" width="17.85546875" style="18" bestFit="1" customWidth="1"/>
    <col min="10498" max="10498" width="12.85546875" style="18" customWidth="1"/>
    <col min="10499" max="10499" width="24" style="18" customWidth="1"/>
    <col min="10500" max="10500" width="13.42578125" style="18" bestFit="1" customWidth="1"/>
    <col min="10501" max="10501" width="13.85546875" style="18" customWidth="1"/>
    <col min="10502" max="10502" width="13.140625" style="18" customWidth="1"/>
    <col min="10503" max="10503" width="22.42578125" style="18" customWidth="1"/>
    <col min="10504" max="10504" width="18.42578125" style="18" customWidth="1"/>
    <col min="10505" max="10505" width="22" style="18" customWidth="1"/>
    <col min="10506" max="10506" width="21.28515625" style="18" customWidth="1"/>
    <col min="10507" max="10507" width="23" style="18" customWidth="1"/>
    <col min="10508" max="10750" width="9.140625" style="18"/>
    <col min="10751" max="10751" width="6.85546875" style="18" customWidth="1"/>
    <col min="10752" max="10752" width="7" style="18" customWidth="1"/>
    <col min="10753" max="10753" width="17.85546875" style="18" bestFit="1" customWidth="1"/>
    <col min="10754" max="10754" width="12.85546875" style="18" customWidth="1"/>
    <col min="10755" max="10755" width="24" style="18" customWidth="1"/>
    <col min="10756" max="10756" width="13.42578125" style="18" bestFit="1" customWidth="1"/>
    <col min="10757" max="10757" width="13.85546875" style="18" customWidth="1"/>
    <col min="10758" max="10758" width="13.140625" style="18" customWidth="1"/>
    <col min="10759" max="10759" width="22.42578125" style="18" customWidth="1"/>
    <col min="10760" max="10760" width="18.42578125" style="18" customWidth="1"/>
    <col min="10761" max="10761" width="22" style="18" customWidth="1"/>
    <col min="10762" max="10762" width="21.28515625" style="18" customWidth="1"/>
    <col min="10763" max="10763" width="23" style="18" customWidth="1"/>
    <col min="10764" max="11006" width="9.140625" style="18"/>
    <col min="11007" max="11007" width="6.85546875" style="18" customWidth="1"/>
    <col min="11008" max="11008" width="7" style="18" customWidth="1"/>
    <col min="11009" max="11009" width="17.85546875" style="18" bestFit="1" customWidth="1"/>
    <col min="11010" max="11010" width="12.85546875" style="18" customWidth="1"/>
    <col min="11011" max="11011" width="24" style="18" customWidth="1"/>
    <col min="11012" max="11012" width="13.42578125" style="18" bestFit="1" customWidth="1"/>
    <col min="11013" max="11013" width="13.85546875" style="18" customWidth="1"/>
    <col min="11014" max="11014" width="13.140625" style="18" customWidth="1"/>
    <col min="11015" max="11015" width="22.42578125" style="18" customWidth="1"/>
    <col min="11016" max="11016" width="18.42578125" style="18" customWidth="1"/>
    <col min="11017" max="11017" width="22" style="18" customWidth="1"/>
    <col min="11018" max="11018" width="21.28515625" style="18" customWidth="1"/>
    <col min="11019" max="11019" width="23" style="18" customWidth="1"/>
    <col min="11020" max="11262" width="9.140625" style="18"/>
    <col min="11263" max="11263" width="6.85546875" style="18" customWidth="1"/>
    <col min="11264" max="11264" width="7" style="18" customWidth="1"/>
    <col min="11265" max="11265" width="17.85546875" style="18" bestFit="1" customWidth="1"/>
    <col min="11266" max="11266" width="12.85546875" style="18" customWidth="1"/>
    <col min="11267" max="11267" width="24" style="18" customWidth="1"/>
    <col min="11268" max="11268" width="13.42578125" style="18" bestFit="1" customWidth="1"/>
    <col min="11269" max="11269" width="13.85546875" style="18" customWidth="1"/>
    <col min="11270" max="11270" width="13.140625" style="18" customWidth="1"/>
    <col min="11271" max="11271" width="22.42578125" style="18" customWidth="1"/>
    <col min="11272" max="11272" width="18.42578125" style="18" customWidth="1"/>
    <col min="11273" max="11273" width="22" style="18" customWidth="1"/>
    <col min="11274" max="11274" width="21.28515625" style="18" customWidth="1"/>
    <col min="11275" max="11275" width="23" style="18" customWidth="1"/>
    <col min="11276" max="11518" width="9.140625" style="18"/>
    <col min="11519" max="11519" width="6.85546875" style="18" customWidth="1"/>
    <col min="11520" max="11520" width="7" style="18" customWidth="1"/>
    <col min="11521" max="11521" width="17.85546875" style="18" bestFit="1" customWidth="1"/>
    <col min="11522" max="11522" width="12.85546875" style="18" customWidth="1"/>
    <col min="11523" max="11523" width="24" style="18" customWidth="1"/>
    <col min="11524" max="11524" width="13.42578125" style="18" bestFit="1" customWidth="1"/>
    <col min="11525" max="11525" width="13.85546875" style="18" customWidth="1"/>
    <col min="11526" max="11526" width="13.140625" style="18" customWidth="1"/>
    <col min="11527" max="11527" width="22.42578125" style="18" customWidth="1"/>
    <col min="11528" max="11528" width="18.42578125" style="18" customWidth="1"/>
    <col min="11529" max="11529" width="22" style="18" customWidth="1"/>
    <col min="11530" max="11530" width="21.28515625" style="18" customWidth="1"/>
    <col min="11531" max="11531" width="23" style="18" customWidth="1"/>
    <col min="11532" max="11774" width="9.140625" style="18"/>
    <col min="11775" max="11775" width="6.85546875" style="18" customWidth="1"/>
    <col min="11776" max="11776" width="7" style="18" customWidth="1"/>
    <col min="11777" max="11777" width="17.85546875" style="18" bestFit="1" customWidth="1"/>
    <col min="11778" max="11778" width="12.85546875" style="18" customWidth="1"/>
    <col min="11779" max="11779" width="24" style="18" customWidth="1"/>
    <col min="11780" max="11780" width="13.42578125" style="18" bestFit="1" customWidth="1"/>
    <col min="11781" max="11781" width="13.85546875" style="18" customWidth="1"/>
    <col min="11782" max="11782" width="13.140625" style="18" customWidth="1"/>
    <col min="11783" max="11783" width="22.42578125" style="18" customWidth="1"/>
    <col min="11784" max="11784" width="18.42578125" style="18" customWidth="1"/>
    <col min="11785" max="11785" width="22" style="18" customWidth="1"/>
    <col min="11786" max="11786" width="21.28515625" style="18" customWidth="1"/>
    <col min="11787" max="11787" width="23" style="18" customWidth="1"/>
    <col min="11788" max="12030" width="9.140625" style="18"/>
    <col min="12031" max="12031" width="6.85546875" style="18" customWidth="1"/>
    <col min="12032" max="12032" width="7" style="18" customWidth="1"/>
    <col min="12033" max="12033" width="17.85546875" style="18" bestFit="1" customWidth="1"/>
    <col min="12034" max="12034" width="12.85546875" style="18" customWidth="1"/>
    <col min="12035" max="12035" width="24" style="18" customWidth="1"/>
    <col min="12036" max="12036" width="13.42578125" style="18" bestFit="1" customWidth="1"/>
    <col min="12037" max="12037" width="13.85546875" style="18" customWidth="1"/>
    <col min="12038" max="12038" width="13.140625" style="18" customWidth="1"/>
    <col min="12039" max="12039" width="22.42578125" style="18" customWidth="1"/>
    <col min="12040" max="12040" width="18.42578125" style="18" customWidth="1"/>
    <col min="12041" max="12041" width="22" style="18" customWidth="1"/>
    <col min="12042" max="12042" width="21.28515625" style="18" customWidth="1"/>
    <col min="12043" max="12043" width="23" style="18" customWidth="1"/>
    <col min="12044" max="12286" width="9.140625" style="18"/>
    <col min="12287" max="12287" width="6.85546875" style="18" customWidth="1"/>
    <col min="12288" max="12288" width="7" style="18" customWidth="1"/>
    <col min="12289" max="12289" width="17.85546875" style="18" bestFit="1" customWidth="1"/>
    <col min="12290" max="12290" width="12.85546875" style="18" customWidth="1"/>
    <col min="12291" max="12291" width="24" style="18" customWidth="1"/>
    <col min="12292" max="12292" width="13.42578125" style="18" bestFit="1" customWidth="1"/>
    <col min="12293" max="12293" width="13.85546875" style="18" customWidth="1"/>
    <col min="12294" max="12294" width="13.140625" style="18" customWidth="1"/>
    <col min="12295" max="12295" width="22.42578125" style="18" customWidth="1"/>
    <col min="12296" max="12296" width="18.42578125" style="18" customWidth="1"/>
    <col min="12297" max="12297" width="22" style="18" customWidth="1"/>
    <col min="12298" max="12298" width="21.28515625" style="18" customWidth="1"/>
    <col min="12299" max="12299" width="23" style="18" customWidth="1"/>
    <col min="12300" max="12542" width="9.140625" style="18"/>
    <col min="12543" max="12543" width="6.85546875" style="18" customWidth="1"/>
    <col min="12544" max="12544" width="7" style="18" customWidth="1"/>
    <col min="12545" max="12545" width="17.85546875" style="18" bestFit="1" customWidth="1"/>
    <col min="12546" max="12546" width="12.85546875" style="18" customWidth="1"/>
    <col min="12547" max="12547" width="24" style="18" customWidth="1"/>
    <col min="12548" max="12548" width="13.42578125" style="18" bestFit="1" customWidth="1"/>
    <col min="12549" max="12549" width="13.85546875" style="18" customWidth="1"/>
    <col min="12550" max="12550" width="13.140625" style="18" customWidth="1"/>
    <col min="12551" max="12551" width="22.42578125" style="18" customWidth="1"/>
    <col min="12552" max="12552" width="18.42578125" style="18" customWidth="1"/>
    <col min="12553" max="12553" width="22" style="18" customWidth="1"/>
    <col min="12554" max="12554" width="21.28515625" style="18" customWidth="1"/>
    <col min="12555" max="12555" width="23" style="18" customWidth="1"/>
    <col min="12556" max="12798" width="9.140625" style="18"/>
    <col min="12799" max="12799" width="6.85546875" style="18" customWidth="1"/>
    <col min="12800" max="12800" width="7" style="18" customWidth="1"/>
    <col min="12801" max="12801" width="17.85546875" style="18" bestFit="1" customWidth="1"/>
    <col min="12802" max="12802" width="12.85546875" style="18" customWidth="1"/>
    <col min="12803" max="12803" width="24" style="18" customWidth="1"/>
    <col min="12804" max="12804" width="13.42578125" style="18" bestFit="1" customWidth="1"/>
    <col min="12805" max="12805" width="13.85546875" style="18" customWidth="1"/>
    <col min="12806" max="12806" width="13.140625" style="18" customWidth="1"/>
    <col min="12807" max="12807" width="22.42578125" style="18" customWidth="1"/>
    <col min="12808" max="12808" width="18.42578125" style="18" customWidth="1"/>
    <col min="12809" max="12809" width="22" style="18" customWidth="1"/>
    <col min="12810" max="12810" width="21.28515625" style="18" customWidth="1"/>
    <col min="12811" max="12811" width="23" style="18" customWidth="1"/>
    <col min="12812" max="13054" width="9.140625" style="18"/>
    <col min="13055" max="13055" width="6.85546875" style="18" customWidth="1"/>
    <col min="13056" max="13056" width="7" style="18" customWidth="1"/>
    <col min="13057" max="13057" width="17.85546875" style="18" bestFit="1" customWidth="1"/>
    <col min="13058" max="13058" width="12.85546875" style="18" customWidth="1"/>
    <col min="13059" max="13059" width="24" style="18" customWidth="1"/>
    <col min="13060" max="13060" width="13.42578125" style="18" bestFit="1" customWidth="1"/>
    <col min="13061" max="13061" width="13.85546875" style="18" customWidth="1"/>
    <col min="13062" max="13062" width="13.140625" style="18" customWidth="1"/>
    <col min="13063" max="13063" width="22.42578125" style="18" customWidth="1"/>
    <col min="13064" max="13064" width="18.42578125" style="18" customWidth="1"/>
    <col min="13065" max="13065" width="22" style="18" customWidth="1"/>
    <col min="13066" max="13066" width="21.28515625" style="18" customWidth="1"/>
    <col min="13067" max="13067" width="23" style="18" customWidth="1"/>
    <col min="13068" max="13310" width="9.140625" style="18"/>
    <col min="13311" max="13311" width="6.85546875" style="18" customWidth="1"/>
    <col min="13312" max="13312" width="7" style="18" customWidth="1"/>
    <col min="13313" max="13313" width="17.85546875" style="18" bestFit="1" customWidth="1"/>
    <col min="13314" max="13314" width="12.85546875" style="18" customWidth="1"/>
    <col min="13315" max="13315" width="24" style="18" customWidth="1"/>
    <col min="13316" max="13316" width="13.42578125" style="18" bestFit="1" customWidth="1"/>
    <col min="13317" max="13317" width="13.85546875" style="18" customWidth="1"/>
    <col min="13318" max="13318" width="13.140625" style="18" customWidth="1"/>
    <col min="13319" max="13319" width="22.42578125" style="18" customWidth="1"/>
    <col min="13320" max="13320" width="18.42578125" style="18" customWidth="1"/>
    <col min="13321" max="13321" width="22" style="18" customWidth="1"/>
    <col min="13322" max="13322" width="21.28515625" style="18" customWidth="1"/>
    <col min="13323" max="13323" width="23" style="18" customWidth="1"/>
    <col min="13324" max="13566" width="9.140625" style="18"/>
    <col min="13567" max="13567" width="6.85546875" style="18" customWidth="1"/>
    <col min="13568" max="13568" width="7" style="18" customWidth="1"/>
    <col min="13569" max="13569" width="17.85546875" style="18" bestFit="1" customWidth="1"/>
    <col min="13570" max="13570" width="12.85546875" style="18" customWidth="1"/>
    <col min="13571" max="13571" width="24" style="18" customWidth="1"/>
    <col min="13572" max="13572" width="13.42578125" style="18" bestFit="1" customWidth="1"/>
    <col min="13573" max="13573" width="13.85546875" style="18" customWidth="1"/>
    <col min="13574" max="13574" width="13.140625" style="18" customWidth="1"/>
    <col min="13575" max="13575" width="22.42578125" style="18" customWidth="1"/>
    <col min="13576" max="13576" width="18.42578125" style="18" customWidth="1"/>
    <col min="13577" max="13577" width="22" style="18" customWidth="1"/>
    <col min="13578" max="13578" width="21.28515625" style="18" customWidth="1"/>
    <col min="13579" max="13579" width="23" style="18" customWidth="1"/>
    <col min="13580" max="13822" width="9.140625" style="18"/>
    <col min="13823" max="13823" width="6.85546875" style="18" customWidth="1"/>
    <col min="13824" max="13824" width="7" style="18" customWidth="1"/>
    <col min="13825" max="13825" width="17.85546875" style="18" bestFit="1" customWidth="1"/>
    <col min="13826" max="13826" width="12.85546875" style="18" customWidth="1"/>
    <col min="13827" max="13827" width="24" style="18" customWidth="1"/>
    <col min="13828" max="13828" width="13.42578125" style="18" bestFit="1" customWidth="1"/>
    <col min="13829" max="13829" width="13.85546875" style="18" customWidth="1"/>
    <col min="13830" max="13830" width="13.140625" style="18" customWidth="1"/>
    <col min="13831" max="13831" width="22.42578125" style="18" customWidth="1"/>
    <col min="13832" max="13832" width="18.42578125" style="18" customWidth="1"/>
    <col min="13833" max="13833" width="22" style="18" customWidth="1"/>
    <col min="13834" max="13834" width="21.28515625" style="18" customWidth="1"/>
    <col min="13835" max="13835" width="23" style="18" customWidth="1"/>
    <col min="13836" max="14078" width="9.140625" style="18"/>
    <col min="14079" max="14079" width="6.85546875" style="18" customWidth="1"/>
    <col min="14080" max="14080" width="7" style="18" customWidth="1"/>
    <col min="14081" max="14081" width="17.85546875" style="18" bestFit="1" customWidth="1"/>
    <col min="14082" max="14082" width="12.85546875" style="18" customWidth="1"/>
    <col min="14083" max="14083" width="24" style="18" customWidth="1"/>
    <col min="14084" max="14084" width="13.42578125" style="18" bestFit="1" customWidth="1"/>
    <col min="14085" max="14085" width="13.85546875" style="18" customWidth="1"/>
    <col min="14086" max="14086" width="13.140625" style="18" customWidth="1"/>
    <col min="14087" max="14087" width="22.42578125" style="18" customWidth="1"/>
    <col min="14088" max="14088" width="18.42578125" style="18" customWidth="1"/>
    <col min="14089" max="14089" width="22" style="18" customWidth="1"/>
    <col min="14090" max="14090" width="21.28515625" style="18" customWidth="1"/>
    <col min="14091" max="14091" width="23" style="18" customWidth="1"/>
    <col min="14092" max="14334" width="9.140625" style="18"/>
    <col min="14335" max="14335" width="6.85546875" style="18" customWidth="1"/>
    <col min="14336" max="14336" width="7" style="18" customWidth="1"/>
    <col min="14337" max="14337" width="17.85546875" style="18" bestFit="1" customWidth="1"/>
    <col min="14338" max="14338" width="12.85546875" style="18" customWidth="1"/>
    <col min="14339" max="14339" width="24" style="18" customWidth="1"/>
    <col min="14340" max="14340" width="13.42578125" style="18" bestFit="1" customWidth="1"/>
    <col min="14341" max="14341" width="13.85546875" style="18" customWidth="1"/>
    <col min="14342" max="14342" width="13.140625" style="18" customWidth="1"/>
    <col min="14343" max="14343" width="22.42578125" style="18" customWidth="1"/>
    <col min="14344" max="14344" width="18.42578125" style="18" customWidth="1"/>
    <col min="14345" max="14345" width="22" style="18" customWidth="1"/>
    <col min="14346" max="14346" width="21.28515625" style="18" customWidth="1"/>
    <col min="14347" max="14347" width="23" style="18" customWidth="1"/>
    <col min="14348" max="14590" width="9.140625" style="18"/>
    <col min="14591" max="14591" width="6.85546875" style="18" customWidth="1"/>
    <col min="14592" max="14592" width="7" style="18" customWidth="1"/>
    <col min="14593" max="14593" width="17.85546875" style="18" bestFit="1" customWidth="1"/>
    <col min="14594" max="14594" width="12.85546875" style="18" customWidth="1"/>
    <col min="14595" max="14595" width="24" style="18" customWidth="1"/>
    <col min="14596" max="14596" width="13.42578125" style="18" bestFit="1" customWidth="1"/>
    <col min="14597" max="14597" width="13.85546875" style="18" customWidth="1"/>
    <col min="14598" max="14598" width="13.140625" style="18" customWidth="1"/>
    <col min="14599" max="14599" width="22.42578125" style="18" customWidth="1"/>
    <col min="14600" max="14600" width="18.42578125" style="18" customWidth="1"/>
    <col min="14601" max="14601" width="22" style="18" customWidth="1"/>
    <col min="14602" max="14602" width="21.28515625" style="18" customWidth="1"/>
    <col min="14603" max="14603" width="23" style="18" customWidth="1"/>
    <col min="14604" max="14846" width="9.140625" style="18"/>
    <col min="14847" max="14847" width="6.85546875" style="18" customWidth="1"/>
    <col min="14848" max="14848" width="7" style="18" customWidth="1"/>
    <col min="14849" max="14849" width="17.85546875" style="18" bestFit="1" customWidth="1"/>
    <col min="14850" max="14850" width="12.85546875" style="18" customWidth="1"/>
    <col min="14851" max="14851" width="24" style="18" customWidth="1"/>
    <col min="14852" max="14852" width="13.42578125" style="18" bestFit="1" customWidth="1"/>
    <col min="14853" max="14853" width="13.85546875" style="18" customWidth="1"/>
    <col min="14854" max="14854" width="13.140625" style="18" customWidth="1"/>
    <col min="14855" max="14855" width="22.42578125" style="18" customWidth="1"/>
    <col min="14856" max="14856" width="18.42578125" style="18" customWidth="1"/>
    <col min="14857" max="14857" width="22" style="18" customWidth="1"/>
    <col min="14858" max="14858" width="21.28515625" style="18" customWidth="1"/>
    <col min="14859" max="14859" width="23" style="18" customWidth="1"/>
    <col min="14860" max="15102" width="9.140625" style="18"/>
    <col min="15103" max="15103" width="6.85546875" style="18" customWidth="1"/>
    <col min="15104" max="15104" width="7" style="18" customWidth="1"/>
    <col min="15105" max="15105" width="17.85546875" style="18" bestFit="1" customWidth="1"/>
    <col min="15106" max="15106" width="12.85546875" style="18" customWidth="1"/>
    <col min="15107" max="15107" width="24" style="18" customWidth="1"/>
    <col min="15108" max="15108" width="13.42578125" style="18" bestFit="1" customWidth="1"/>
    <col min="15109" max="15109" width="13.85546875" style="18" customWidth="1"/>
    <col min="15110" max="15110" width="13.140625" style="18" customWidth="1"/>
    <col min="15111" max="15111" width="22.42578125" style="18" customWidth="1"/>
    <col min="15112" max="15112" width="18.42578125" style="18" customWidth="1"/>
    <col min="15113" max="15113" width="22" style="18" customWidth="1"/>
    <col min="15114" max="15114" width="21.28515625" style="18" customWidth="1"/>
    <col min="15115" max="15115" width="23" style="18" customWidth="1"/>
    <col min="15116" max="15358" width="9.140625" style="18"/>
    <col min="15359" max="15359" width="6.85546875" style="18" customWidth="1"/>
    <col min="15360" max="15360" width="7" style="18" customWidth="1"/>
    <col min="15361" max="15361" width="17.85546875" style="18" bestFit="1" customWidth="1"/>
    <col min="15362" max="15362" width="12.85546875" style="18" customWidth="1"/>
    <col min="15363" max="15363" width="24" style="18" customWidth="1"/>
    <col min="15364" max="15364" width="13.42578125" style="18" bestFit="1" customWidth="1"/>
    <col min="15365" max="15365" width="13.85546875" style="18" customWidth="1"/>
    <col min="15366" max="15366" width="13.140625" style="18" customWidth="1"/>
    <col min="15367" max="15367" width="22.42578125" style="18" customWidth="1"/>
    <col min="15368" max="15368" width="18.42578125" style="18" customWidth="1"/>
    <col min="15369" max="15369" width="22" style="18" customWidth="1"/>
    <col min="15370" max="15370" width="21.28515625" style="18" customWidth="1"/>
    <col min="15371" max="15371" width="23" style="18" customWidth="1"/>
    <col min="15372" max="15614" width="9.140625" style="18"/>
    <col min="15615" max="15615" width="6.85546875" style="18" customWidth="1"/>
    <col min="15616" max="15616" width="7" style="18" customWidth="1"/>
    <col min="15617" max="15617" width="17.85546875" style="18" bestFit="1" customWidth="1"/>
    <col min="15618" max="15618" width="12.85546875" style="18" customWidth="1"/>
    <col min="15619" max="15619" width="24" style="18" customWidth="1"/>
    <col min="15620" max="15620" width="13.42578125" style="18" bestFit="1" customWidth="1"/>
    <col min="15621" max="15621" width="13.85546875" style="18" customWidth="1"/>
    <col min="15622" max="15622" width="13.140625" style="18" customWidth="1"/>
    <col min="15623" max="15623" width="22.42578125" style="18" customWidth="1"/>
    <col min="15624" max="15624" width="18.42578125" style="18" customWidth="1"/>
    <col min="15625" max="15625" width="22" style="18" customWidth="1"/>
    <col min="15626" max="15626" width="21.28515625" style="18" customWidth="1"/>
    <col min="15627" max="15627" width="23" style="18" customWidth="1"/>
    <col min="15628" max="15870" width="9.140625" style="18"/>
    <col min="15871" max="15871" width="6.85546875" style="18" customWidth="1"/>
    <col min="15872" max="15872" width="7" style="18" customWidth="1"/>
    <col min="15873" max="15873" width="17.85546875" style="18" bestFit="1" customWidth="1"/>
    <col min="15874" max="15874" width="12.85546875" style="18" customWidth="1"/>
    <col min="15875" max="15875" width="24" style="18" customWidth="1"/>
    <col min="15876" max="15876" width="13.42578125" style="18" bestFit="1" customWidth="1"/>
    <col min="15877" max="15877" width="13.85546875" style="18" customWidth="1"/>
    <col min="15878" max="15878" width="13.140625" style="18" customWidth="1"/>
    <col min="15879" max="15879" width="22.42578125" style="18" customWidth="1"/>
    <col min="15880" max="15880" width="18.42578125" style="18" customWidth="1"/>
    <col min="15881" max="15881" width="22" style="18" customWidth="1"/>
    <col min="15882" max="15882" width="21.28515625" style="18" customWidth="1"/>
    <col min="15883" max="15883" width="23" style="18" customWidth="1"/>
    <col min="15884" max="16126" width="9.140625" style="18"/>
    <col min="16127" max="16127" width="6.85546875" style="18" customWidth="1"/>
    <col min="16128" max="16128" width="7" style="18" customWidth="1"/>
    <col min="16129" max="16129" width="17.85546875" style="18" bestFit="1" customWidth="1"/>
    <col min="16130" max="16130" width="12.85546875" style="18" customWidth="1"/>
    <col min="16131" max="16131" width="24" style="18" customWidth="1"/>
    <col min="16132" max="16132" width="13.42578125" style="18" bestFit="1" customWidth="1"/>
    <col min="16133" max="16133" width="13.85546875" style="18" customWidth="1"/>
    <col min="16134" max="16134" width="13.140625" style="18" customWidth="1"/>
    <col min="16135" max="16135" width="22.42578125" style="18" customWidth="1"/>
    <col min="16136" max="16136" width="18.42578125" style="18" customWidth="1"/>
    <col min="16137" max="16137" width="22" style="18" customWidth="1"/>
    <col min="16138" max="16138" width="21.28515625" style="18" customWidth="1"/>
    <col min="16139" max="16139" width="23" style="18" customWidth="1"/>
    <col min="16140" max="16384" width="9.140625" style="18"/>
  </cols>
  <sheetData>
    <row r="3" spans="2:15">
      <c r="B3" s="1397" t="s">
        <v>906</v>
      </c>
      <c r="C3" s="1347"/>
      <c r="D3" s="1347"/>
      <c r="E3" s="1347"/>
      <c r="F3" s="1347"/>
      <c r="G3" s="1347"/>
      <c r="H3" s="1347"/>
      <c r="I3" s="1347"/>
      <c r="J3" s="1347"/>
      <c r="K3" s="1347"/>
      <c r="L3" s="1347"/>
    </row>
    <row r="4" spans="2:15">
      <c r="B4" s="1397" t="s">
        <v>722</v>
      </c>
      <c r="C4" s="1347"/>
      <c r="D4" s="1347"/>
      <c r="E4" s="1347"/>
      <c r="F4" s="1347"/>
      <c r="G4" s="1347"/>
      <c r="H4" s="1347"/>
      <c r="I4" s="1347"/>
      <c r="J4" s="1347"/>
      <c r="K4" s="1347"/>
      <c r="L4" s="1347"/>
    </row>
    <row r="5" spans="2:15">
      <c r="B5" s="1397" t="s">
        <v>623</v>
      </c>
      <c r="C5" s="1347"/>
      <c r="D5" s="1347"/>
      <c r="E5" s="1347"/>
      <c r="F5" s="1347"/>
      <c r="G5" s="1347"/>
      <c r="H5" s="1347"/>
      <c r="I5" s="1347"/>
      <c r="J5" s="1347"/>
      <c r="K5" s="1347"/>
      <c r="L5" s="1347"/>
    </row>
    <row r="6" spans="2:15">
      <c r="B6" s="182"/>
      <c r="C6" s="156"/>
      <c r="D6" s="20"/>
      <c r="E6" s="21"/>
      <c r="F6" s="20"/>
      <c r="G6" s="20"/>
      <c r="H6" s="20"/>
      <c r="I6" s="37"/>
      <c r="J6" s="37"/>
      <c r="K6" s="37"/>
    </row>
    <row r="7" spans="2:15">
      <c r="B7" s="1365" t="s">
        <v>157</v>
      </c>
      <c r="C7" s="1365" t="s">
        <v>49</v>
      </c>
      <c r="D7" s="1069"/>
      <c r="E7" s="289"/>
      <c r="F7" s="1365" t="s">
        <v>434</v>
      </c>
      <c r="G7" s="1365"/>
      <c r="H7" s="1365"/>
      <c r="I7" s="1365"/>
      <c r="J7" s="1365" t="s">
        <v>440</v>
      </c>
      <c r="K7" s="1365"/>
      <c r="L7" s="1365"/>
      <c r="M7" s="1365"/>
      <c r="N7" s="1365"/>
      <c r="O7" s="1365"/>
    </row>
    <row r="8" spans="2:15">
      <c r="B8" s="1365"/>
      <c r="C8" s="1365"/>
      <c r="D8" s="1069" t="s">
        <v>716</v>
      </c>
      <c r="E8" s="1069" t="s">
        <v>38</v>
      </c>
      <c r="F8" s="1069" t="s">
        <v>146</v>
      </c>
      <c r="G8" s="1069" t="s">
        <v>147</v>
      </c>
      <c r="H8" s="1069" t="s">
        <v>148</v>
      </c>
      <c r="I8" s="1069" t="s">
        <v>149</v>
      </c>
      <c r="J8" s="1069" t="s">
        <v>156</v>
      </c>
      <c r="K8" s="1069" t="s">
        <v>435</v>
      </c>
      <c r="L8" s="1069" t="s">
        <v>436</v>
      </c>
      <c r="M8" s="1069" t="s">
        <v>437</v>
      </c>
      <c r="N8" s="1069" t="s">
        <v>438</v>
      </c>
      <c r="O8" s="1069" t="s">
        <v>439</v>
      </c>
    </row>
    <row r="9" spans="2:15">
      <c r="B9" s="1366"/>
      <c r="C9" s="1366"/>
      <c r="D9" s="1069" t="s">
        <v>1263</v>
      </c>
      <c r="E9" s="1069" t="s">
        <v>1263</v>
      </c>
      <c r="F9" s="1069" t="s">
        <v>1263</v>
      </c>
      <c r="G9" s="1069" t="s">
        <v>1263</v>
      </c>
      <c r="H9" s="1069" t="s">
        <v>31</v>
      </c>
      <c r="I9" s="1069" t="s">
        <v>31</v>
      </c>
      <c r="J9" s="1069" t="s">
        <v>31</v>
      </c>
      <c r="K9" s="1069" t="s">
        <v>31</v>
      </c>
      <c r="L9" s="1069" t="s">
        <v>31</v>
      </c>
      <c r="M9" s="1069" t="s">
        <v>31</v>
      </c>
      <c r="N9" s="1069" t="s">
        <v>31</v>
      </c>
      <c r="O9" s="1069" t="s">
        <v>31</v>
      </c>
    </row>
    <row r="10" spans="2:15">
      <c r="B10" s="93" t="s">
        <v>82</v>
      </c>
      <c r="C10" s="162" t="s">
        <v>426</v>
      </c>
      <c r="D10" s="1398" t="s">
        <v>822</v>
      </c>
      <c r="E10" s="36"/>
      <c r="F10" s="36"/>
      <c r="G10" s="36"/>
      <c r="H10" s="36"/>
      <c r="I10" s="36"/>
      <c r="J10" s="29"/>
      <c r="K10" s="29"/>
      <c r="L10" s="29"/>
      <c r="M10" s="29"/>
      <c r="N10" s="29"/>
      <c r="O10" s="29"/>
    </row>
    <row r="11" spans="2:15">
      <c r="B11" s="92">
        <v>1</v>
      </c>
      <c r="C11" s="106" t="s">
        <v>427</v>
      </c>
      <c r="D11" s="1398"/>
      <c r="E11" s="1089">
        <v>7</v>
      </c>
      <c r="F11" s="1089">
        <v>7.75</v>
      </c>
      <c r="G11" s="1247">
        <v>8</v>
      </c>
      <c r="H11" s="1089">
        <v>8.1</v>
      </c>
      <c r="I11" s="1089">
        <v>8.25</v>
      </c>
      <c r="J11" s="1089">
        <v>8.5</v>
      </c>
      <c r="K11" s="1089">
        <v>9.5</v>
      </c>
      <c r="L11" s="1089">
        <v>10.5</v>
      </c>
      <c r="M11" s="1089">
        <v>10.5</v>
      </c>
      <c r="N11" s="1089">
        <v>10.5</v>
      </c>
      <c r="O11" s="1089">
        <v>10.5</v>
      </c>
    </row>
    <row r="12" spans="2:15">
      <c r="B12" s="92">
        <v>2</v>
      </c>
      <c r="C12" s="284" t="s">
        <v>428</v>
      </c>
      <c r="D12" s="1398"/>
      <c r="E12" s="1089">
        <v>8</v>
      </c>
      <c r="F12" s="1089">
        <v>8</v>
      </c>
      <c r="G12" s="1247">
        <f>+F12</f>
        <v>8</v>
      </c>
      <c r="H12" s="1089">
        <v>8.1</v>
      </c>
      <c r="I12" s="1089">
        <v>8.25</v>
      </c>
      <c r="J12" s="1089">
        <v>8.5</v>
      </c>
      <c r="K12" s="1089">
        <v>9.5</v>
      </c>
      <c r="L12" s="1089">
        <v>10.5</v>
      </c>
      <c r="M12" s="1089">
        <v>10.5</v>
      </c>
      <c r="N12" s="1089">
        <v>10.5</v>
      </c>
      <c r="O12" s="1089">
        <v>10.5</v>
      </c>
    </row>
    <row r="13" spans="2:15">
      <c r="B13" s="92">
        <v>3</v>
      </c>
      <c r="C13" s="288" t="s">
        <v>115</v>
      </c>
      <c r="D13" s="1398"/>
      <c r="E13" s="1089">
        <f>SUM(E11:E12)</f>
        <v>15</v>
      </c>
      <c r="F13" s="1089">
        <f>SUM(F11:F12)</f>
        <v>15.75</v>
      </c>
      <c r="G13" s="1089">
        <f>SUM(G11:G12)</f>
        <v>16</v>
      </c>
      <c r="H13" s="1089">
        <f>SUM(H11:H12)</f>
        <v>16.2</v>
      </c>
      <c r="I13" s="1089">
        <f>SUM(I11:I12)</f>
        <v>16.5</v>
      </c>
      <c r="J13" s="1089">
        <f t="shared" ref="J13:O13" si="0">SUM(J11:J12)</f>
        <v>17</v>
      </c>
      <c r="K13" s="1089">
        <f t="shared" si="0"/>
        <v>19</v>
      </c>
      <c r="L13" s="1089">
        <f t="shared" si="0"/>
        <v>21</v>
      </c>
      <c r="M13" s="1089">
        <f t="shared" si="0"/>
        <v>21</v>
      </c>
      <c r="N13" s="1089">
        <f t="shared" si="0"/>
        <v>21</v>
      </c>
      <c r="O13" s="1089">
        <f t="shared" si="0"/>
        <v>21</v>
      </c>
    </row>
    <row r="14" spans="2:15">
      <c r="B14" s="92"/>
      <c r="C14" s="288"/>
      <c r="D14" s="1398"/>
      <c r="E14" s="1089"/>
      <c r="F14" s="1089"/>
      <c r="G14" s="1089"/>
      <c r="H14" s="1089"/>
      <c r="I14" s="1089"/>
      <c r="J14" s="1089"/>
      <c r="K14" s="1089"/>
      <c r="L14" s="1089"/>
      <c r="M14" s="1089"/>
      <c r="N14" s="1089"/>
      <c r="O14" s="1089"/>
    </row>
    <row r="15" spans="2:15">
      <c r="B15" s="93" t="s">
        <v>89</v>
      </c>
      <c r="C15" s="288" t="s">
        <v>429</v>
      </c>
      <c r="D15" s="1398"/>
      <c r="E15" s="471"/>
      <c r="F15" s="471"/>
      <c r="G15" s="471"/>
      <c r="H15" s="471"/>
      <c r="I15" s="471"/>
      <c r="J15" s="471"/>
      <c r="K15" s="471"/>
      <c r="L15" s="471"/>
      <c r="M15" s="471"/>
      <c r="N15" s="471"/>
      <c r="O15" s="471"/>
    </row>
    <row r="16" spans="2:15">
      <c r="B16" s="92"/>
      <c r="C16" s="288"/>
      <c r="D16" s="1398"/>
      <c r="E16" s="471"/>
      <c r="F16" s="471"/>
      <c r="G16" s="471"/>
      <c r="H16" s="471"/>
      <c r="I16" s="471"/>
      <c r="J16" s="471"/>
      <c r="K16" s="471"/>
      <c r="L16" s="471"/>
      <c r="M16" s="471"/>
      <c r="N16" s="471"/>
      <c r="O16" s="471"/>
    </row>
    <row r="17" spans="2:15">
      <c r="B17" s="93">
        <v>1</v>
      </c>
      <c r="C17" s="288" t="s">
        <v>430</v>
      </c>
      <c r="D17" s="1398"/>
      <c r="E17" s="471"/>
      <c r="F17" s="471"/>
      <c r="G17" s="471"/>
      <c r="H17" s="471"/>
      <c r="I17" s="471"/>
      <c r="J17" s="471"/>
      <c r="K17" s="471"/>
      <c r="L17" s="471"/>
      <c r="M17" s="471"/>
      <c r="N17" s="471"/>
      <c r="O17" s="471"/>
    </row>
    <row r="18" spans="2:15">
      <c r="B18" s="92">
        <v>1.4</v>
      </c>
      <c r="C18" s="106" t="s">
        <v>115</v>
      </c>
      <c r="D18" s="1398"/>
      <c r="E18" s="471"/>
      <c r="F18" s="471"/>
      <c r="G18" s="471"/>
      <c r="H18" s="471"/>
      <c r="I18" s="471"/>
      <c r="J18" s="471"/>
      <c r="K18" s="471"/>
      <c r="L18" s="471"/>
      <c r="M18" s="471"/>
      <c r="N18" s="471"/>
      <c r="O18" s="471"/>
    </row>
    <row r="19" spans="2:15">
      <c r="B19" s="92"/>
      <c r="C19" s="288"/>
      <c r="D19" s="1398"/>
      <c r="E19" s="471"/>
      <c r="F19" s="471"/>
      <c r="G19" s="471"/>
      <c r="H19" s="471"/>
      <c r="I19" s="471"/>
      <c r="J19" s="471"/>
      <c r="K19" s="471"/>
      <c r="L19" s="471"/>
      <c r="M19" s="471"/>
      <c r="N19" s="471"/>
      <c r="O19" s="471"/>
    </row>
    <row r="20" spans="2:15">
      <c r="B20" s="93">
        <v>2</v>
      </c>
      <c r="C20" s="288" t="s">
        <v>431</v>
      </c>
      <c r="D20" s="1398"/>
      <c r="E20" s="471"/>
      <c r="F20" s="471"/>
      <c r="G20" s="471"/>
      <c r="H20" s="471"/>
      <c r="I20" s="471"/>
      <c r="J20" s="471"/>
      <c r="K20" s="471"/>
      <c r="L20" s="471"/>
      <c r="M20" s="471"/>
      <c r="N20" s="471"/>
      <c r="O20" s="471"/>
    </row>
    <row r="21" spans="2:15">
      <c r="B21" s="92">
        <v>2.1</v>
      </c>
      <c r="C21" s="106" t="s">
        <v>825</v>
      </c>
      <c r="D21" s="1398"/>
      <c r="E21" s="471"/>
      <c r="F21" s="471">
        <v>10</v>
      </c>
      <c r="G21" s="471">
        <v>10</v>
      </c>
      <c r="H21" s="471">
        <v>10</v>
      </c>
      <c r="I21" s="471">
        <v>10</v>
      </c>
      <c r="J21" s="471">
        <v>10</v>
      </c>
      <c r="K21" s="471">
        <v>0</v>
      </c>
      <c r="L21" s="471">
        <v>0</v>
      </c>
      <c r="M21" s="471">
        <v>0</v>
      </c>
      <c r="N21" s="471">
        <v>0</v>
      </c>
      <c r="O21" s="471">
        <v>0</v>
      </c>
    </row>
    <row r="22" spans="2:15">
      <c r="B22" s="92">
        <v>2.2000000000000002</v>
      </c>
      <c r="C22" s="106" t="s">
        <v>826</v>
      </c>
      <c r="D22" s="1398"/>
      <c r="E22" s="471"/>
      <c r="F22" s="471">
        <v>10</v>
      </c>
      <c r="G22" s="471">
        <v>10</v>
      </c>
      <c r="H22" s="471">
        <v>10</v>
      </c>
      <c r="I22" s="471">
        <v>10</v>
      </c>
      <c r="J22" s="471">
        <v>10</v>
      </c>
      <c r="K22" s="471">
        <v>0</v>
      </c>
      <c r="L22" s="471">
        <v>0</v>
      </c>
      <c r="M22" s="471">
        <v>0</v>
      </c>
      <c r="N22" s="471">
        <v>0</v>
      </c>
      <c r="O22" s="471">
        <v>0</v>
      </c>
    </row>
    <row r="23" spans="2:15">
      <c r="B23" s="92">
        <v>2.2999999999999998</v>
      </c>
      <c r="C23" s="106" t="s">
        <v>1342</v>
      </c>
      <c r="D23" s="1398"/>
      <c r="E23" s="471"/>
      <c r="F23" s="471">
        <v>0</v>
      </c>
      <c r="G23" s="471">
        <v>0</v>
      </c>
      <c r="H23" s="471">
        <v>0</v>
      </c>
      <c r="I23" s="471">
        <v>0</v>
      </c>
      <c r="J23" s="471">
        <v>0</v>
      </c>
      <c r="K23" s="471">
        <v>10</v>
      </c>
      <c r="L23" s="471">
        <v>10.5</v>
      </c>
      <c r="M23" s="471">
        <v>10.5</v>
      </c>
      <c r="N23" s="471">
        <v>10.5</v>
      </c>
      <c r="O23" s="471">
        <v>10.5</v>
      </c>
    </row>
    <row r="24" spans="2:15">
      <c r="B24" s="92">
        <v>2.4</v>
      </c>
      <c r="C24" s="106" t="s">
        <v>1343</v>
      </c>
      <c r="D24" s="1398"/>
      <c r="E24" s="471"/>
      <c r="F24" s="471">
        <v>0</v>
      </c>
      <c r="G24" s="471">
        <v>0</v>
      </c>
      <c r="H24" s="471">
        <v>0</v>
      </c>
      <c r="I24" s="471">
        <v>0</v>
      </c>
      <c r="J24" s="471">
        <v>0</v>
      </c>
      <c r="K24" s="471">
        <v>10</v>
      </c>
      <c r="L24" s="471">
        <v>10.5</v>
      </c>
      <c r="M24" s="471">
        <v>10.5</v>
      </c>
      <c r="N24" s="471">
        <v>10.5</v>
      </c>
      <c r="O24" s="471">
        <v>10.5</v>
      </c>
    </row>
    <row r="25" spans="2:15">
      <c r="B25" s="93">
        <v>2.5</v>
      </c>
      <c r="C25" s="288" t="s">
        <v>115</v>
      </c>
      <c r="D25" s="1398"/>
      <c r="E25" s="472">
        <f>SUM(E21:E22)</f>
        <v>0</v>
      </c>
      <c r="F25" s="472">
        <f>SUM(F21:F24)</f>
        <v>20</v>
      </c>
      <c r="G25" s="472">
        <f t="shared" ref="G25:O25" si="1">SUM(G21:G24)</f>
        <v>20</v>
      </c>
      <c r="H25" s="472">
        <f t="shared" si="1"/>
        <v>20</v>
      </c>
      <c r="I25" s="472">
        <f t="shared" si="1"/>
        <v>20</v>
      </c>
      <c r="J25" s="472">
        <f>SUM(J21:J24)</f>
        <v>20</v>
      </c>
      <c r="K25" s="472">
        <f>SUM(K21:K24)</f>
        <v>20</v>
      </c>
      <c r="L25" s="472">
        <f t="shared" si="1"/>
        <v>21</v>
      </c>
      <c r="M25" s="472">
        <f t="shared" si="1"/>
        <v>21</v>
      </c>
      <c r="N25" s="472">
        <f t="shared" si="1"/>
        <v>21</v>
      </c>
      <c r="O25" s="472">
        <f t="shared" si="1"/>
        <v>21</v>
      </c>
    </row>
    <row r="26" spans="2:15">
      <c r="B26" s="92"/>
      <c r="C26" s="106"/>
      <c r="D26" s="1398"/>
      <c r="E26" s="471"/>
      <c r="F26" s="471"/>
      <c r="G26" s="471"/>
      <c r="H26" s="471"/>
      <c r="I26" s="471"/>
      <c r="J26" s="471"/>
      <c r="K26" s="471"/>
      <c r="L26" s="471"/>
      <c r="M26" s="471"/>
      <c r="N26" s="471"/>
      <c r="O26" s="471"/>
    </row>
    <row r="27" spans="2:15">
      <c r="B27" s="93">
        <v>3</v>
      </c>
      <c r="C27" s="288" t="s">
        <v>432</v>
      </c>
      <c r="D27" s="1398"/>
      <c r="E27" s="471"/>
      <c r="F27" s="471"/>
      <c r="G27" s="471"/>
      <c r="H27" s="471"/>
      <c r="I27" s="471"/>
      <c r="J27" s="471"/>
      <c r="K27" s="471"/>
      <c r="L27" s="471"/>
      <c r="M27" s="471"/>
      <c r="N27" s="471"/>
      <c r="O27" s="471"/>
    </row>
    <row r="28" spans="2:15" ht="30.75" customHeight="1">
      <c r="B28" s="92">
        <v>3.1</v>
      </c>
      <c r="C28" s="106" t="str">
        <f>'[91]F1.4'!B10</f>
        <v>Jindal Power Ltd, Dist: Raigarh, Chattisgarh through Global Energy Pvt. Ltd. (Trader)</v>
      </c>
      <c r="D28" s="1398"/>
      <c r="E28" s="1399">
        <v>14</v>
      </c>
      <c r="F28" s="471"/>
      <c r="G28" s="471"/>
      <c r="H28" s="471"/>
      <c r="I28" s="471"/>
      <c r="J28" s="471"/>
      <c r="K28" s="471"/>
      <c r="L28" s="471"/>
      <c r="M28" s="471"/>
      <c r="N28" s="471"/>
      <c r="O28" s="471"/>
    </row>
    <row r="29" spans="2:15">
      <c r="B29" s="92"/>
      <c r="C29" s="474" t="s">
        <v>823</v>
      </c>
      <c r="D29" s="1398"/>
      <c r="E29" s="1399"/>
      <c r="F29" s="471"/>
      <c r="G29" s="471"/>
      <c r="H29" s="471"/>
      <c r="I29" s="471"/>
      <c r="J29" s="471"/>
      <c r="K29" s="471"/>
      <c r="L29" s="471"/>
      <c r="M29" s="471"/>
      <c r="N29" s="471"/>
      <c r="O29" s="471"/>
    </row>
    <row r="30" spans="2:15" ht="30" customHeight="1">
      <c r="B30" s="92">
        <v>3.2</v>
      </c>
      <c r="C30" s="106" t="str">
        <f>'[91]F1.4'!B17</f>
        <v>JSW, Ratnagiri, Maharashtra through Global Energy Pvt. Ltd. (Trader)</v>
      </c>
      <c r="D30" s="1398"/>
      <c r="E30" s="1399"/>
      <c r="F30" s="471"/>
      <c r="G30" s="471"/>
      <c r="H30" s="471"/>
      <c r="I30" s="471"/>
      <c r="J30" s="471"/>
      <c r="K30" s="471"/>
      <c r="L30" s="471"/>
      <c r="M30" s="471"/>
      <c r="N30" s="471"/>
      <c r="O30" s="471"/>
    </row>
    <row r="31" spans="2:15">
      <c r="B31" s="92"/>
      <c r="C31" s="1327" t="s">
        <v>824</v>
      </c>
      <c r="D31" s="1398"/>
      <c r="E31" s="473"/>
      <c r="F31" s="471"/>
      <c r="G31" s="471"/>
      <c r="H31" s="471"/>
      <c r="I31" s="471"/>
      <c r="J31" s="471"/>
      <c r="K31" s="471"/>
      <c r="L31" s="471"/>
      <c r="M31" s="471"/>
      <c r="N31" s="471"/>
      <c r="O31" s="471"/>
    </row>
    <row r="32" spans="2:15">
      <c r="B32" s="92">
        <v>3.3</v>
      </c>
      <c r="C32" s="474" t="s">
        <v>812</v>
      </c>
      <c r="D32" s="1398"/>
      <c r="E32" s="473">
        <v>1</v>
      </c>
      <c r="F32" s="471"/>
      <c r="G32" s="471"/>
      <c r="H32" s="471"/>
      <c r="I32" s="471"/>
      <c r="J32" s="471"/>
      <c r="K32" s="471"/>
      <c r="L32" s="471"/>
      <c r="M32" s="471"/>
      <c r="N32" s="471"/>
      <c r="O32" s="471"/>
    </row>
    <row r="33" spans="2:15">
      <c r="B33" s="92">
        <v>3.4000000000000004</v>
      </c>
      <c r="C33" s="106" t="s">
        <v>115</v>
      </c>
      <c r="D33" s="1398"/>
      <c r="E33" s="471">
        <f>SUM(E28:E32)</f>
        <v>15</v>
      </c>
      <c r="F33" s="471"/>
      <c r="G33" s="471"/>
      <c r="H33" s="471"/>
      <c r="I33" s="471"/>
      <c r="J33" s="471"/>
      <c r="K33" s="471"/>
      <c r="L33" s="471"/>
      <c r="M33" s="471"/>
      <c r="N33" s="471"/>
      <c r="O33" s="471"/>
    </row>
    <row r="34" spans="2:15">
      <c r="B34" s="92"/>
      <c r="C34" s="106"/>
      <c r="D34" s="1398"/>
      <c r="E34" s="471"/>
      <c r="F34" s="471"/>
      <c r="G34" s="471"/>
      <c r="H34" s="471"/>
      <c r="I34" s="471"/>
      <c r="J34" s="471"/>
      <c r="K34" s="471"/>
      <c r="L34" s="471"/>
      <c r="M34" s="471"/>
      <c r="N34" s="471"/>
      <c r="O34" s="471"/>
    </row>
    <row r="35" spans="2:15">
      <c r="B35" s="93">
        <v>4</v>
      </c>
      <c r="C35" s="32" t="s">
        <v>433</v>
      </c>
      <c r="D35" s="1398"/>
      <c r="E35" s="1328">
        <f>E33+E25+E18</f>
        <v>15</v>
      </c>
      <c r="F35" s="1328">
        <f>F33+F25+F18</f>
        <v>20</v>
      </c>
      <c r="G35" s="1328">
        <f t="shared" ref="G35:O35" si="2">G33+G25+G18</f>
        <v>20</v>
      </c>
      <c r="H35" s="1328">
        <f t="shared" si="2"/>
        <v>20</v>
      </c>
      <c r="I35" s="1328">
        <f t="shared" si="2"/>
        <v>20</v>
      </c>
      <c r="J35" s="1328">
        <f t="shared" si="2"/>
        <v>20</v>
      </c>
      <c r="K35" s="1328">
        <f t="shared" si="2"/>
        <v>20</v>
      </c>
      <c r="L35" s="1328">
        <f t="shared" si="2"/>
        <v>21</v>
      </c>
      <c r="M35" s="1328">
        <f t="shared" si="2"/>
        <v>21</v>
      </c>
      <c r="N35" s="1328">
        <f t="shared" si="2"/>
        <v>21</v>
      </c>
      <c r="O35" s="1328">
        <f t="shared" si="2"/>
        <v>21</v>
      </c>
    </row>
    <row r="36" spans="2:15">
      <c r="B36" s="92"/>
      <c r="C36" s="106"/>
      <c r="D36" s="1398"/>
      <c r="E36" s="471"/>
      <c r="F36" s="471"/>
      <c r="G36" s="471"/>
      <c r="H36" s="471"/>
      <c r="I36" s="471"/>
      <c r="J36" s="471"/>
      <c r="K36" s="471"/>
      <c r="L36" s="471"/>
      <c r="M36" s="471"/>
      <c r="N36" s="471"/>
      <c r="O36" s="471"/>
    </row>
    <row r="37" spans="2:15">
      <c r="B37" s="93" t="s">
        <v>90</v>
      </c>
      <c r="C37" s="288" t="s">
        <v>552</v>
      </c>
      <c r="D37" s="1398"/>
      <c r="E37" s="471">
        <f>E13-E35</f>
        <v>0</v>
      </c>
      <c r="F37" s="471">
        <f>F13-F35</f>
        <v>-4.25</v>
      </c>
      <c r="G37" s="471">
        <f>G13-G35</f>
        <v>-4</v>
      </c>
      <c r="H37" s="471">
        <f>H13-H35</f>
        <v>-3.8000000000000007</v>
      </c>
      <c r="I37" s="471">
        <f t="shared" ref="I37:O37" si="3">I13-I35</f>
        <v>-3.5</v>
      </c>
      <c r="J37" s="471">
        <f t="shared" si="3"/>
        <v>-3</v>
      </c>
      <c r="K37" s="471">
        <f t="shared" si="3"/>
        <v>-1</v>
      </c>
      <c r="L37" s="471">
        <f t="shared" si="3"/>
        <v>0</v>
      </c>
      <c r="M37" s="471">
        <f t="shared" si="3"/>
        <v>0</v>
      </c>
      <c r="N37" s="471">
        <f t="shared" si="3"/>
        <v>0</v>
      </c>
      <c r="O37" s="471">
        <f t="shared" si="3"/>
        <v>0</v>
      </c>
    </row>
    <row r="38" spans="2:15">
      <c r="D38" s="332"/>
      <c r="E38" s="475"/>
      <c r="F38" s="475"/>
      <c r="G38" s="475"/>
      <c r="H38" s="475"/>
      <c r="I38" s="475"/>
      <c r="J38" s="475"/>
      <c r="K38" s="475"/>
      <c r="L38" s="475"/>
      <c r="M38" s="475"/>
      <c r="N38" s="475"/>
      <c r="O38" s="475"/>
    </row>
  </sheetData>
  <mergeCells count="9">
    <mergeCell ref="D10:D37"/>
    <mergeCell ref="E28:E30"/>
    <mergeCell ref="B3:L3"/>
    <mergeCell ref="B4:L4"/>
    <mergeCell ref="B5:L5"/>
    <mergeCell ref="B7:B9"/>
    <mergeCell ref="C7:C9"/>
    <mergeCell ref="F7:I7"/>
    <mergeCell ref="J7:O7"/>
  </mergeCells>
  <pageMargins left="0.35433070866141736" right="0.19685039370078741" top="0.47244094488188981" bottom="0.31496062992125984" header="0.23622047244094491" footer="0.23622047244094491"/>
  <pageSetup paperSize="9" scale="55" orientation="landscape" r:id="rId1"/>
  <headerFooter alignWithMargins="0">
    <oddHeader>&amp;F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29</vt:i4>
      </vt:variant>
    </vt:vector>
  </HeadingPairs>
  <TitlesOfParts>
    <vt:vector size="83" baseType="lpstr">
      <vt:lpstr>Comparison</vt:lpstr>
      <vt:lpstr>Index</vt:lpstr>
      <vt:lpstr>ARR-Summary</vt:lpstr>
      <vt:lpstr>F1</vt:lpstr>
      <vt:lpstr>F1.1</vt:lpstr>
      <vt:lpstr>F1.2</vt:lpstr>
      <vt:lpstr>F1.3</vt:lpstr>
      <vt:lpstr>F1.4</vt:lpstr>
      <vt:lpstr>F1.5</vt:lpstr>
      <vt:lpstr>F2</vt:lpstr>
      <vt:lpstr>F2.1</vt:lpstr>
      <vt:lpstr>F2.2</vt:lpstr>
      <vt:lpstr>F3</vt:lpstr>
      <vt:lpstr>F3.1</vt:lpstr>
      <vt:lpstr>F3.2</vt:lpstr>
      <vt:lpstr>F3.3</vt:lpstr>
      <vt:lpstr>F3.4</vt:lpstr>
      <vt:lpstr>F3.5</vt:lpstr>
      <vt:lpstr>F4</vt:lpstr>
      <vt:lpstr>F4.1</vt:lpstr>
      <vt:lpstr>F4.2</vt:lpstr>
      <vt:lpstr>F4.3</vt:lpstr>
      <vt:lpstr>F5</vt:lpstr>
      <vt:lpstr>F5.1</vt:lpstr>
      <vt:lpstr>F5.2</vt:lpstr>
      <vt:lpstr>F6</vt:lpstr>
      <vt:lpstr>F7</vt:lpstr>
      <vt:lpstr>F8</vt:lpstr>
      <vt:lpstr>F9</vt:lpstr>
      <vt:lpstr>F10</vt:lpstr>
      <vt:lpstr>F11</vt:lpstr>
      <vt:lpstr>F12</vt:lpstr>
      <vt:lpstr>F13</vt:lpstr>
      <vt:lpstr>F13.1</vt:lpstr>
      <vt:lpstr>F13.2</vt:lpstr>
      <vt:lpstr>F13.3</vt:lpstr>
      <vt:lpstr>F14.1</vt:lpstr>
      <vt:lpstr>F14.2</vt:lpstr>
      <vt:lpstr>F15</vt:lpstr>
      <vt:lpstr>F16</vt:lpstr>
      <vt:lpstr>F17</vt:lpstr>
      <vt:lpstr>F18</vt:lpstr>
      <vt:lpstr>F19</vt:lpstr>
      <vt:lpstr>F20</vt:lpstr>
      <vt:lpstr>Graph</vt:lpstr>
      <vt:lpstr>9| ESC FACTOR</vt:lpstr>
      <vt:lpstr>ASSUM</vt:lpstr>
      <vt:lpstr>InSTS Loss</vt:lpstr>
      <vt:lpstr>Backup</vt:lpstr>
      <vt:lpstr>MYT cal</vt:lpstr>
      <vt:lpstr>Actual Loan</vt:lpstr>
      <vt:lpstr>F13 B</vt:lpstr>
      <vt:lpstr>Tariff Summary</vt:lpstr>
      <vt:lpstr>CSS</vt:lpstr>
      <vt:lpstr>'ARR-Summary'!Print_Area</vt:lpstr>
      <vt:lpstr>'F12'!Print_Area</vt:lpstr>
      <vt:lpstr>F14.1!Print_Area</vt:lpstr>
      <vt:lpstr>F14.2!Print_Area</vt:lpstr>
      <vt:lpstr>'F15'!Print_Area</vt:lpstr>
      <vt:lpstr>'F18'!Print_Area</vt:lpstr>
      <vt:lpstr>'F2'!Print_Area</vt:lpstr>
      <vt:lpstr>F2.1!Print_Area</vt:lpstr>
      <vt:lpstr>'F20'!Print_Area</vt:lpstr>
      <vt:lpstr>'F4'!Print_Area</vt:lpstr>
      <vt:lpstr>F4.1!Print_Area</vt:lpstr>
      <vt:lpstr>F4.2!Print_Area</vt:lpstr>
      <vt:lpstr>F4.3!Print_Area</vt:lpstr>
      <vt:lpstr>'F5'!Print_Area</vt:lpstr>
      <vt:lpstr>F5.1!Print_Area</vt:lpstr>
      <vt:lpstr>F5.2!Print_Area</vt:lpstr>
      <vt:lpstr>'F7'!Print_Area</vt:lpstr>
      <vt:lpstr>'ARR-Summary'!Print_Titles</vt:lpstr>
      <vt:lpstr>'F1'!Print_Titles</vt:lpstr>
      <vt:lpstr>F1.1!Print_Titles</vt:lpstr>
      <vt:lpstr>'F18'!Print_Titles</vt:lpstr>
      <vt:lpstr>'F2'!Print_Titles</vt:lpstr>
      <vt:lpstr>'F20'!Print_Titles</vt:lpstr>
      <vt:lpstr>F3.3!Print_Titles</vt:lpstr>
      <vt:lpstr>F3.4!Print_Titles</vt:lpstr>
      <vt:lpstr>'F5'!Print_Titles</vt:lpstr>
      <vt:lpstr>F5.1!Print_Titles</vt:lpstr>
      <vt:lpstr>F5.2!Print_Titles</vt:lpstr>
      <vt:lpstr>'F6'!Print_Titles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Palaniappan M</dc:creator>
  <cp:lastModifiedBy>KIller</cp:lastModifiedBy>
  <cp:lastPrinted>2018-05-22T12:25:07Z</cp:lastPrinted>
  <dcterms:created xsi:type="dcterms:W3CDTF">2004-07-28T05:30:50Z</dcterms:created>
  <dcterms:modified xsi:type="dcterms:W3CDTF">2018-06-20T12:46:55Z</dcterms:modified>
</cp:coreProperties>
</file>